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workbookProtection workbookPassword="BF89" lockStructure="1"/>
  <bookViews>
    <workbookView xWindow="240" yWindow="105" windowWidth="12330" windowHeight="8010"/>
  </bookViews>
  <sheets>
    <sheet name="СГ-ЭК" sheetId="1" r:id="rId1"/>
    <sheet name="Опросный лист" sheetId="5" r:id="rId2"/>
    <sheet name="Лист2" sheetId="2" state="hidden" r:id="rId3"/>
    <sheet name="Лист3" sheetId="4" state="hidden" r:id="rId4"/>
  </sheets>
  <definedNames>
    <definedName name="_xlnm.Print_Area" localSheetId="1">'Опросный лист'!$B$1:$P$53</definedName>
  </definedNames>
  <calcPr calcId="145621"/>
</workbook>
</file>

<file path=xl/calcChain.xml><?xml version="1.0" encoding="utf-8"?>
<calcChain xmlns="http://schemas.openxmlformats.org/spreadsheetml/2006/main">
  <c r="M180" i="4" l="1"/>
  <c r="D22" i="2" l="1"/>
  <c r="D25" i="2" l="1"/>
  <c r="I14" i="2"/>
  <c r="C180" i="4" s="1"/>
  <c r="Q37" i="5" l="1"/>
  <c r="Q36" i="5"/>
  <c r="Q35" i="5"/>
  <c r="Q34" i="5"/>
  <c r="Q33" i="5"/>
  <c r="Q32" i="5"/>
  <c r="Q31" i="5"/>
  <c r="Q30" i="5"/>
  <c r="B14" i="5"/>
  <c r="B13" i="5"/>
  <c r="B12" i="5"/>
  <c r="B11" i="5"/>
  <c r="C6" i="2" l="1"/>
  <c r="F180" i="4" s="1"/>
  <c r="C5" i="2"/>
  <c r="C4" i="2"/>
  <c r="I12" i="2" s="1"/>
  <c r="C3" i="2"/>
  <c r="C2" i="2"/>
  <c r="J12" i="2" l="1"/>
  <c r="J180" i="4"/>
  <c r="K12" i="2"/>
  <c r="D24" i="2" s="1"/>
  <c r="C8" i="2"/>
  <c r="C9" i="2"/>
  <c r="L175" i="4" l="1"/>
  <c r="L171" i="4"/>
  <c r="L167" i="4"/>
  <c r="L163" i="4"/>
  <c r="L159" i="4"/>
  <c r="L155" i="4"/>
  <c r="L151" i="4"/>
  <c r="L147" i="4"/>
  <c r="L143" i="4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71" i="4"/>
  <c r="L67" i="4"/>
  <c r="L63" i="4"/>
  <c r="L59" i="4"/>
  <c r="L55" i="4"/>
  <c r="L51" i="4"/>
  <c r="L47" i="4"/>
  <c r="L43" i="4"/>
  <c r="L39" i="4"/>
  <c r="L35" i="4"/>
  <c r="L31" i="4"/>
  <c r="L27" i="4"/>
  <c r="L23" i="4"/>
  <c r="L19" i="4"/>
  <c r="L15" i="4"/>
  <c r="L11" i="4"/>
  <c r="L7" i="4"/>
  <c r="L174" i="4"/>
  <c r="L170" i="4"/>
  <c r="L166" i="4"/>
  <c r="L162" i="4"/>
  <c r="L158" i="4"/>
  <c r="L154" i="4"/>
  <c r="L150" i="4"/>
  <c r="L146" i="4"/>
  <c r="L142" i="4"/>
  <c r="L138" i="4"/>
  <c r="L134" i="4"/>
  <c r="L130" i="4"/>
  <c r="L126" i="4"/>
  <c r="L122" i="4"/>
  <c r="L118" i="4"/>
  <c r="L114" i="4"/>
  <c r="L110" i="4"/>
  <c r="L106" i="4"/>
  <c r="L102" i="4"/>
  <c r="L98" i="4"/>
  <c r="L94" i="4"/>
  <c r="L90" i="4"/>
  <c r="L86" i="4"/>
  <c r="L82" i="4"/>
  <c r="L78" i="4"/>
  <c r="L74" i="4"/>
  <c r="L70" i="4"/>
  <c r="L66" i="4"/>
  <c r="L62" i="4"/>
  <c r="L58" i="4"/>
  <c r="L54" i="4"/>
  <c r="L50" i="4"/>
  <c r="L46" i="4"/>
  <c r="L42" i="4"/>
  <c r="L38" i="4"/>
  <c r="L34" i="4"/>
  <c r="L30" i="4"/>
  <c r="L26" i="4"/>
  <c r="L22" i="4"/>
  <c r="L18" i="4"/>
  <c r="L14" i="4"/>
  <c r="L10" i="4"/>
  <c r="L173" i="4"/>
  <c r="L169" i="4"/>
  <c r="L165" i="4"/>
  <c r="L161" i="4"/>
  <c r="L157" i="4"/>
  <c r="L153" i="4"/>
  <c r="L149" i="4"/>
  <c r="L145" i="4"/>
  <c r="L141" i="4"/>
  <c r="L137" i="4"/>
  <c r="L133" i="4"/>
  <c r="L129" i="4"/>
  <c r="L125" i="4"/>
  <c r="L121" i="4"/>
  <c r="L117" i="4"/>
  <c r="L113" i="4"/>
  <c r="L109" i="4"/>
  <c r="L105" i="4"/>
  <c r="L101" i="4"/>
  <c r="L97" i="4"/>
  <c r="L93" i="4"/>
  <c r="L89" i="4"/>
  <c r="L85" i="4"/>
  <c r="L81" i="4"/>
  <c r="L77" i="4"/>
  <c r="L73" i="4"/>
  <c r="L69" i="4"/>
  <c r="L65" i="4"/>
  <c r="L61" i="4"/>
  <c r="L57" i="4"/>
  <c r="L53" i="4"/>
  <c r="L49" i="4"/>
  <c r="L45" i="4"/>
  <c r="L41" i="4"/>
  <c r="L37" i="4"/>
  <c r="L33" i="4"/>
  <c r="L29" i="4"/>
  <c r="L25" i="4"/>
  <c r="L21" i="4"/>
  <c r="L17" i="4"/>
  <c r="L13" i="4"/>
  <c r="L9" i="4"/>
  <c r="L5" i="4"/>
  <c r="L176" i="4"/>
  <c r="L172" i="4"/>
  <c r="L168" i="4"/>
  <c r="L164" i="4"/>
  <c r="L160" i="4"/>
  <c r="L156" i="4"/>
  <c r="L152" i="4"/>
  <c r="L148" i="4"/>
  <c r="L144" i="4"/>
  <c r="L140" i="4"/>
  <c r="L136" i="4"/>
  <c r="L132" i="4"/>
  <c r="L128" i="4"/>
  <c r="L124" i="4"/>
  <c r="L120" i="4"/>
  <c r="L116" i="4"/>
  <c r="L112" i="4"/>
  <c r="L108" i="4"/>
  <c r="L104" i="4"/>
  <c r="L100" i="4"/>
  <c r="L96" i="4"/>
  <c r="L92" i="4"/>
  <c r="L88" i="4"/>
  <c r="L84" i="4"/>
  <c r="L80" i="4"/>
  <c r="L76" i="4"/>
  <c r="L72" i="4"/>
  <c r="L68" i="4"/>
  <c r="L64" i="4"/>
  <c r="L60" i="4"/>
  <c r="L56" i="4"/>
  <c r="L52" i="4"/>
  <c r="L48" i="4"/>
  <c r="L44" i="4"/>
  <c r="L40" i="4"/>
  <c r="L36" i="4"/>
  <c r="L32" i="4"/>
  <c r="L28" i="4"/>
  <c r="L24" i="4"/>
  <c r="L20" i="4"/>
  <c r="L16" i="4"/>
  <c r="L12" i="4"/>
  <c r="L4" i="4"/>
  <c r="L8" i="4"/>
  <c r="L6" i="4"/>
  <c r="K176" i="4"/>
  <c r="K174" i="4"/>
  <c r="K172" i="4"/>
  <c r="K170" i="4"/>
  <c r="K168" i="4"/>
  <c r="K166" i="4"/>
  <c r="K164" i="4"/>
  <c r="K162" i="4"/>
  <c r="K160" i="4"/>
  <c r="K158" i="4"/>
  <c r="K156" i="4"/>
  <c r="K154" i="4"/>
  <c r="K152" i="4"/>
  <c r="K150" i="4"/>
  <c r="K148" i="4"/>
  <c r="K146" i="4"/>
  <c r="K144" i="4"/>
  <c r="K142" i="4"/>
  <c r="K140" i="4"/>
  <c r="K138" i="4"/>
  <c r="K136" i="4"/>
  <c r="K134" i="4"/>
  <c r="K132" i="4"/>
  <c r="K130" i="4"/>
  <c r="K128" i="4"/>
  <c r="K126" i="4"/>
  <c r="K124" i="4"/>
  <c r="K122" i="4"/>
  <c r="K120" i="4"/>
  <c r="K118" i="4"/>
  <c r="K116" i="4"/>
  <c r="K114" i="4"/>
  <c r="K112" i="4"/>
  <c r="K110" i="4"/>
  <c r="K108" i="4"/>
  <c r="K106" i="4"/>
  <c r="K104" i="4"/>
  <c r="K102" i="4"/>
  <c r="K100" i="4"/>
  <c r="K98" i="4"/>
  <c r="K96" i="4"/>
  <c r="K94" i="4"/>
  <c r="K92" i="4"/>
  <c r="K90" i="4"/>
  <c r="K88" i="4"/>
  <c r="K86" i="4"/>
  <c r="K84" i="4"/>
  <c r="K82" i="4"/>
  <c r="K80" i="4"/>
  <c r="K78" i="4"/>
  <c r="K76" i="4"/>
  <c r="K74" i="4"/>
  <c r="K72" i="4"/>
  <c r="K70" i="4"/>
  <c r="K68" i="4"/>
  <c r="K66" i="4"/>
  <c r="K64" i="4"/>
  <c r="K62" i="4"/>
  <c r="K60" i="4"/>
  <c r="K58" i="4"/>
  <c r="K56" i="4"/>
  <c r="K54" i="4"/>
  <c r="K52" i="4"/>
  <c r="K50" i="4"/>
  <c r="K48" i="4"/>
  <c r="K46" i="4"/>
  <c r="K44" i="4"/>
  <c r="K42" i="4"/>
  <c r="K40" i="4"/>
  <c r="K38" i="4"/>
  <c r="K36" i="4"/>
  <c r="K34" i="4"/>
  <c r="K32" i="4"/>
  <c r="K30" i="4"/>
  <c r="K28" i="4"/>
  <c r="K26" i="4"/>
  <c r="K24" i="4"/>
  <c r="K22" i="4"/>
  <c r="K20" i="4"/>
  <c r="K18" i="4"/>
  <c r="K16" i="4"/>
  <c r="K14" i="4"/>
  <c r="K12" i="4"/>
  <c r="K10" i="4"/>
  <c r="K8" i="4"/>
  <c r="K3" i="4"/>
  <c r="K171" i="4"/>
  <c r="K161" i="4"/>
  <c r="K157" i="4"/>
  <c r="K153" i="4"/>
  <c r="K149" i="4"/>
  <c r="K147" i="4"/>
  <c r="K143" i="4"/>
  <c r="K139" i="4"/>
  <c r="K135" i="4"/>
  <c r="K133" i="4"/>
  <c r="K129" i="4"/>
  <c r="K127" i="4"/>
  <c r="K123" i="4"/>
  <c r="K117" i="4"/>
  <c r="K113" i="4"/>
  <c r="K109" i="4"/>
  <c r="K105" i="4"/>
  <c r="K103" i="4"/>
  <c r="K99" i="4"/>
  <c r="K95" i="4"/>
  <c r="K91" i="4"/>
  <c r="K87" i="4"/>
  <c r="K83" i="4"/>
  <c r="K79" i="4"/>
  <c r="K77" i="4"/>
  <c r="K73" i="4"/>
  <c r="K69" i="4"/>
  <c r="K65" i="4"/>
  <c r="K63" i="4"/>
  <c r="K59" i="4"/>
  <c r="K55" i="4"/>
  <c r="K51" i="4"/>
  <c r="K47" i="4"/>
  <c r="K45" i="4"/>
  <c r="K41" i="4"/>
  <c r="K39" i="4"/>
  <c r="K35" i="4"/>
  <c r="K33" i="4"/>
  <c r="K29" i="4"/>
  <c r="K25" i="4"/>
  <c r="K21" i="4"/>
  <c r="K17" i="4"/>
  <c r="K175" i="4"/>
  <c r="K173" i="4"/>
  <c r="K169" i="4"/>
  <c r="K167" i="4"/>
  <c r="K165" i="4"/>
  <c r="K163" i="4"/>
  <c r="K159" i="4"/>
  <c r="K155" i="4"/>
  <c r="K151" i="4"/>
  <c r="K145" i="4"/>
  <c r="K141" i="4"/>
  <c r="K137" i="4"/>
  <c r="K131" i="4"/>
  <c r="K125" i="4"/>
  <c r="K121" i="4"/>
  <c r="K119" i="4"/>
  <c r="K115" i="4"/>
  <c r="K111" i="4"/>
  <c r="K107" i="4"/>
  <c r="K101" i="4"/>
  <c r="K97" i="4"/>
  <c r="K93" i="4"/>
  <c r="K89" i="4"/>
  <c r="K85" i="4"/>
  <c r="K81" i="4"/>
  <c r="K75" i="4"/>
  <c r="K71" i="4"/>
  <c r="K67" i="4"/>
  <c r="K61" i="4"/>
  <c r="K57" i="4"/>
  <c r="K53" i="4"/>
  <c r="K49" i="4"/>
  <c r="K43" i="4"/>
  <c r="K37" i="4"/>
  <c r="K31" i="4"/>
  <c r="K27" i="4"/>
  <c r="K23" i="4"/>
  <c r="K19" i="4"/>
  <c r="K11" i="4"/>
  <c r="K6" i="4"/>
  <c r="K4" i="4"/>
  <c r="K13" i="4"/>
  <c r="K7" i="4"/>
  <c r="K5" i="4"/>
  <c r="K15" i="4"/>
  <c r="K9" i="4"/>
  <c r="L3" i="4"/>
  <c r="L12" i="2"/>
  <c r="B14" i="2" s="1"/>
  <c r="B21" i="5"/>
  <c r="B18" i="5"/>
  <c r="B22" i="5"/>
  <c r="B19" i="5"/>
  <c r="B23" i="5"/>
  <c r="B20" i="5"/>
  <c r="B17" i="5"/>
  <c r="N179" i="4" l="1"/>
  <c r="D23" i="2" s="1"/>
  <c r="B183" i="4" l="1"/>
  <c r="G184" i="4" s="1"/>
  <c r="C24" i="2"/>
  <c r="E184" i="4" l="1"/>
  <c r="B15" i="2" s="1"/>
  <c r="E12" i="2"/>
  <c r="C184" i="4"/>
  <c r="D184" i="4"/>
  <c r="B13" i="2" s="1"/>
  <c r="B11" i="2" l="1"/>
  <c r="B37" i="5" s="1"/>
  <c r="B34" i="5"/>
  <c r="B16" i="2"/>
  <c r="D28" i="2" s="1"/>
  <c r="F21" i="1"/>
  <c r="F19" i="1"/>
  <c r="B3" i="1" l="1"/>
  <c r="C23" i="2"/>
  <c r="C25" i="2" l="1"/>
  <c r="B26" i="1" l="1"/>
</calcChain>
</file>

<file path=xl/comments1.xml><?xml version="1.0" encoding="utf-8"?>
<comments xmlns="http://schemas.openxmlformats.org/spreadsheetml/2006/main">
  <authors>
    <author>Автор</author>
  </authors>
  <commentList>
    <comment ref="F9" authorId="0">
      <text>
        <r>
          <rPr>
            <sz val="10"/>
            <color indexed="81"/>
            <rFont val="Tahoma"/>
            <family val="2"/>
            <charset val="204"/>
          </rPr>
          <t>Доступные диапазоны
измерения давления:
−0,02—0,1 МПа изб.
  0—0,4 МПа изб.
  0,05—0,65 МПа изб.
  0,1—9,9 МПа изб.
  0,3—1,9 МПа изб.
  2,1—5,4 МПа изб.
  2,7—6,9 МПа изб.</t>
        </r>
      </text>
    </comment>
    <comment ref="F11" authorId="0">
      <text>
        <r>
          <rPr>
            <sz val="10"/>
            <color indexed="81"/>
            <rFont val="Tahoma"/>
            <family val="2"/>
            <charset val="204"/>
          </rPr>
          <t>Доступные диапазоны
измерения давления:
−0,02—0,1 МПа изб.
  0—0,4 МПа изб.
  0,05—0,65 МПа изб.
  0,1—9,9 МПа изб.
  0,3—1,9 МПа изб.
  2,1—5,4 МПа изб.
  2,7—6,9 МПа изб.</t>
        </r>
      </text>
    </comment>
  </commentList>
</comments>
</file>

<file path=xl/sharedStrings.xml><?xml version="1.0" encoding="utf-8"?>
<sst xmlns="http://schemas.openxmlformats.org/spreadsheetml/2006/main" count="997" uniqueCount="206">
  <si>
    <t>Условный диаметр, мм</t>
  </si>
  <si>
    <t>Qmin</t>
  </si>
  <si>
    <t>Qmax</t>
  </si>
  <si>
    <t>Pmin</t>
  </si>
  <si>
    <t>Pmax</t>
  </si>
  <si>
    <t>DN</t>
  </si>
  <si>
    <t>Вар. DN</t>
  </si>
  <si>
    <t>Qmin.p</t>
  </si>
  <si>
    <t>Qmax.p</t>
  </si>
  <si>
    <t>Pc</t>
  </si>
  <si>
    <t>1:30</t>
  </si>
  <si>
    <t>1:50</t>
  </si>
  <si>
    <t>A</t>
  </si>
  <si>
    <t>B</t>
  </si>
  <si>
    <t>C</t>
  </si>
  <si>
    <t>D</t>
  </si>
  <si>
    <t>E</t>
  </si>
  <si>
    <t>F</t>
  </si>
  <si>
    <t>G</t>
  </si>
  <si>
    <r>
      <t>Минимальный рабочий расход, м</t>
    </r>
    <r>
      <rPr>
        <sz val="11"/>
        <color theme="1"/>
        <rFont val="Calibri"/>
        <family val="2"/>
        <charset val="204"/>
      </rPr>
      <t>³/ч</t>
    </r>
  </si>
  <si>
    <r>
      <t>Максимальный рабочий расход, м</t>
    </r>
    <r>
      <rPr>
        <sz val="11"/>
        <color theme="1"/>
        <rFont val="Calibri"/>
        <family val="2"/>
        <charset val="204"/>
      </rPr>
      <t>³/ч</t>
    </r>
  </si>
  <si>
    <t>&gt;0</t>
  </si>
  <si>
    <t>+</t>
  </si>
  <si>
    <t xml:space="preserve"> - мин. подходящий Ду</t>
  </si>
  <si>
    <t>O</t>
  </si>
  <si>
    <t xml:space="preserve"> - нужная запись</t>
  </si>
  <si>
    <t>[3]</t>
  </si>
  <si>
    <t>Исп.</t>
  </si>
  <si>
    <t>О</t>
  </si>
  <si>
    <t>2У</t>
  </si>
  <si>
    <t>.</t>
  </si>
  <si>
    <r>
      <t>Минимальный расход, м</t>
    </r>
    <r>
      <rPr>
        <sz val="11"/>
        <color theme="1"/>
        <rFont val="Calibri"/>
        <family val="2"/>
        <charset val="204"/>
      </rPr>
      <t xml:space="preserve">³/ч </t>
    </r>
    <r>
      <rPr>
        <sz val="11"/>
        <color rgb="FFFF0000"/>
        <rFont val="Calibri"/>
        <family val="2"/>
        <charset val="204"/>
      </rPr>
      <t>*</t>
    </r>
  </si>
  <si>
    <r>
      <t>Максимальный расход, м</t>
    </r>
    <r>
      <rPr>
        <sz val="11"/>
        <color theme="1"/>
        <rFont val="Calibri"/>
        <family val="2"/>
        <charset val="204"/>
      </rPr>
      <t xml:space="preserve">³/ч </t>
    </r>
    <r>
      <rPr>
        <sz val="11"/>
        <color rgb="FFFF0000"/>
        <rFont val="Calibri"/>
        <family val="2"/>
        <charset val="204"/>
      </rPr>
      <t>*</t>
    </r>
  </si>
  <si>
    <r>
      <t xml:space="preserve">Минимальное изб. давление, МПа </t>
    </r>
    <r>
      <rPr>
        <sz val="11"/>
        <color rgb="FFFF0000"/>
        <rFont val="Calibri"/>
        <family val="2"/>
        <charset val="204"/>
        <scheme val="minor"/>
      </rPr>
      <t>*</t>
    </r>
  </si>
  <si>
    <r>
      <t xml:space="preserve">Максимальное изб. давление, МПа </t>
    </r>
    <r>
      <rPr>
        <sz val="11"/>
        <color rgb="FFFF0000"/>
        <rFont val="Calibri"/>
        <family val="2"/>
        <charset val="204"/>
        <scheme val="minor"/>
      </rPr>
      <t>*</t>
    </r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</si>
  <si>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scheme val="minor"/>
      </rPr>
      <t xml:space="preserve"> обязательные для заполнения поля</t>
    </r>
  </si>
  <si>
    <t>1:20</t>
  </si>
  <si>
    <t>1:40</t>
  </si>
  <si>
    <t>– исполнение в зависимости от метрологических характеристик: «О» или «2У»</t>
  </si>
  <si>
    <t>1:65</t>
  </si>
  <si>
    <t>1:80</t>
  </si>
  <si>
    <t>1:100</t>
  </si>
  <si>
    <t>1:130</t>
  </si>
  <si>
    <t>1:160</t>
  </si>
  <si>
    <t>1:200</t>
  </si>
  <si>
    <t>1:250</t>
  </si>
  <si>
    <t>РГ-Р</t>
  </si>
  <si>
    <t>СГ-ЭК</t>
  </si>
  <si>
    <t>1:12,5</t>
  </si>
  <si>
    <t>H</t>
  </si>
  <si>
    <t>РГ-Т (16)</t>
  </si>
  <si>
    <t>РГ-Т (100)</t>
  </si>
  <si>
    <t>MIN</t>
  </si>
  <si>
    <t>MAX</t>
  </si>
  <si>
    <t>N</t>
  </si>
  <si>
    <t>ООО «РАСКО Газэлектроника»</t>
  </si>
  <si>
    <t>607220, Россия, Нижегородская обл.,</t>
  </si>
  <si>
    <t>г. Арзамас, ул. 50 лет ВЛКСМ, д. 8-А</t>
  </si>
  <si>
    <t>Тел.: 8 800 234-98-01, +7 (83147) 7-98-00, 7-98-01</t>
  </si>
  <si>
    <t>ОПРОСНЫЙ ЛИСТ</t>
  </si>
  <si>
    <t>на измерительный комплекс СГ-ЭК</t>
  </si>
  <si>
    <t>Исходные данные:</t>
  </si>
  <si>
    <t>0,15—0,75 МПа абс. (1,5—7,5 кгс/см²)</t>
  </si>
  <si>
    <t>Диапазон измерения абсолютного давления:</t>
  </si>
  <si>
    <t>0,1—0,5 МПа абс.    (1,0—5,0 кгс/см²)</t>
  </si>
  <si>
    <t>0,08—0,2 МПа абс.  (0,8—2,0 кгс/см²)</t>
  </si>
  <si>
    <t>0,2—1,0 МПа абс.     (2,0—10 кгс/см²)</t>
  </si>
  <si>
    <t>0,4—2,0 МПа абс.     (4,0—20 кгс/см²)</t>
  </si>
  <si>
    <t>2,2—5,5 МПа абс.     (22—55 кгс/см²)</t>
  </si>
  <si>
    <t>2,8—7,0 МПа абс.     (28—70 кгс/см²)</t>
  </si>
  <si>
    <t>Направление потока газа:</t>
  </si>
  <si>
    <t>Слева направо</t>
  </si>
  <si>
    <t>Справа налево</t>
  </si>
  <si>
    <t>Снизу вверх</t>
  </si>
  <si>
    <t>Сверху вниз</t>
  </si>
  <si>
    <t>Дополнительные опции для корректора ЕК270:</t>
  </si>
  <si>
    <t>Встроенный преобразователь перепада давления (ППД)</t>
  </si>
  <si>
    <t>Верхнее значение предела измерения (ВПИ), кПа:</t>
  </si>
  <si>
    <t>Встроенный датчик внешней температуры (ПТ)</t>
  </si>
  <si>
    <t>Встроенный высокочастотный датчик</t>
  </si>
  <si>
    <t>Подобранный счетчик газа в составке СГ-ЭК:</t>
  </si>
  <si>
    <t>Марка выбранного измерительного комплекса:</t>
  </si>
  <si>
    <t>sales@gaselectro.ru | www.gaselectro.ru</t>
  </si>
  <si>
    <t>J</t>
  </si>
  <si>
    <t>Р</t>
  </si>
  <si>
    <t>K</t>
  </si>
  <si>
    <t>L</t>
  </si>
  <si>
    <t>Т</t>
  </si>
  <si>
    <t>-100/1,6</t>
  </si>
  <si>
    <t>-160/1,6</t>
  </si>
  <si>
    <t>-250/1,6</t>
  </si>
  <si>
    <t>-400/1,6</t>
  </si>
  <si>
    <t>-650/1,6</t>
  </si>
  <si>
    <t>-1000/1,6</t>
  </si>
  <si>
    <t>-1600/1,6</t>
  </si>
  <si>
    <t>-2500/1,6</t>
  </si>
  <si>
    <t>-4000/1,6</t>
  </si>
  <si>
    <t>-6500/1,6</t>
  </si>
  <si>
    <t>-100/10</t>
  </si>
  <si>
    <t>-160/10</t>
  </si>
  <si>
    <t>-250/10</t>
  </si>
  <si>
    <t>-400/10</t>
  </si>
  <si>
    <t>-650/10</t>
  </si>
  <si>
    <t>-1000/10</t>
  </si>
  <si>
    <t>-1600/10</t>
  </si>
  <si>
    <t>-250/7,5</t>
  </si>
  <si>
    <t>-400/7,5</t>
  </si>
  <si>
    <t>-650/7,5</t>
  </si>
  <si>
    <t>-800/7,5</t>
  </si>
  <si>
    <t>-1000/7,5</t>
  </si>
  <si>
    <t>-1600/7,5</t>
  </si>
  <si>
    <t>-2500/7,5</t>
  </si>
  <si>
    <t>-4000/7,5</t>
  </si>
  <si>
    <t>-25/1,6</t>
  </si>
  <si>
    <t>-40/1,6</t>
  </si>
  <si>
    <t>-65/1,6</t>
  </si>
  <si>
    <t>РГ-Р G16 DN50</t>
  </si>
  <si>
    <t>РГ-Р G25 DN50</t>
  </si>
  <si>
    <t>РГ-Р G40 DN50</t>
  </si>
  <si>
    <t>РГ-Р G65 DN50</t>
  </si>
  <si>
    <t>РГ-Р G100 DN80</t>
  </si>
  <si>
    <t>РГ-Р G160 DN80</t>
  </si>
  <si>
    <t>РГ-Р G250 DN100</t>
  </si>
  <si>
    <t>РГ-Р G400 DN100</t>
  </si>
  <si>
    <t>РГ-Р G400 DN150</t>
  </si>
  <si>
    <t>РГ-Р G650 DN150</t>
  </si>
  <si>
    <t>РГ-Р G1000 DN200</t>
  </si>
  <si>
    <t>РГ-Т G65 DN50 PN16</t>
  </si>
  <si>
    <t>РГ-Т G100 DN80 PN16</t>
  </si>
  <si>
    <t>РГ-Т G160 DN80 PN16</t>
  </si>
  <si>
    <t>РГ-Т G250 DN80 PN16</t>
  </si>
  <si>
    <t>РГ-Т G160 DN100 PN16</t>
  </si>
  <si>
    <t>РГ-Т G250 DN100 PN16</t>
  </si>
  <si>
    <t>РГ-Т G400 DN100 PN16</t>
  </si>
  <si>
    <t>РГ-Т G400 DN150 PN16</t>
  </si>
  <si>
    <t>РГ-Т G650 DN150 PN16</t>
  </si>
  <si>
    <t>РГ-Т G1000 DN150 PN16</t>
  </si>
  <si>
    <t>РГ-Т G650 DN200 PN16</t>
  </si>
  <si>
    <t>РГ-Т G1000 DN200 PN16</t>
  </si>
  <si>
    <t>РГ-Т G1600 DN200 PN16</t>
  </si>
  <si>
    <t>РГ-Т G1000 DN250 PN16</t>
  </si>
  <si>
    <t>РГ-Т G1600 DN250 PN16</t>
  </si>
  <si>
    <t>РГ-Т G2500 DN250 PN16</t>
  </si>
  <si>
    <t>РГ-Т G1600 DN300 PN16</t>
  </si>
  <si>
    <t>РГ-Т G2500 DN300 PN16</t>
  </si>
  <si>
    <t>РГ-Т G4000 DN300 PN16</t>
  </si>
  <si>
    <t>РГ-Т G65 DN50 PN100</t>
  </si>
  <si>
    <t>РГ-Т G100 DN80 PN100</t>
  </si>
  <si>
    <t>РГ-Т G160 DN80 PN100</t>
  </si>
  <si>
    <t>РГ-Т G250 DN80 PN100</t>
  </si>
  <si>
    <t>РГ-Т G160 DN100 PN100</t>
  </si>
  <si>
    <t>РГ-Т G250 DN100 PN100</t>
  </si>
  <si>
    <t>РГ-Т G400 DN100 PN100</t>
  </si>
  <si>
    <t>РГ-Т G650 DN150 PN100</t>
  </si>
  <si>
    <t>РГ-Т G1000 DN150 PN100</t>
  </si>
  <si>
    <t>СГ16МТ-100-Р</t>
  </si>
  <si>
    <t>СГ16МТ-100-Р1</t>
  </si>
  <si>
    <t>1:10</t>
  </si>
  <si>
    <t>СГ16МТ-250-Р2</t>
  </si>
  <si>
    <t>СГ16МТ-250-Р3</t>
  </si>
  <si>
    <t>СГ16МТ-400-Р2</t>
  </si>
  <si>
    <t>СГ16МТ-400-Р3</t>
  </si>
  <si>
    <t>1:25</t>
  </si>
  <si>
    <t>СГ16МТ-650-Р2</t>
  </si>
  <si>
    <t>СГ16МТ-650-Р3</t>
  </si>
  <si>
    <t>СГ16МТ-800-Р2</t>
  </si>
  <si>
    <t>СГ16МТ-800-Р3</t>
  </si>
  <si>
    <t>СГ16МТ-1000-Р2</t>
  </si>
  <si>
    <t>СГ16МТ-1000-Р3</t>
  </si>
  <si>
    <t>СГ16МТ-1600-Р2</t>
  </si>
  <si>
    <t>СГ16МТ-1600-Р3</t>
  </si>
  <si>
    <t>СГ16МТ-2500-Р2</t>
  </si>
  <si>
    <t>СГ16МТ-2500-Р3</t>
  </si>
  <si>
    <t>СГ16МТ-4000-Р2</t>
  </si>
  <si>
    <t>СГ16МТ-4000-Р3</t>
  </si>
  <si>
    <t>-800/1,6</t>
  </si>
  <si>
    <t>Предпочитаемый счетчик газа</t>
  </si>
  <si>
    <t>РГ-Т</t>
  </si>
  <si>
    <t>СГ16МТ</t>
  </si>
  <si>
    <t>СГ75МТ-250</t>
  </si>
  <si>
    <t>СГ75МТ-400</t>
  </si>
  <si>
    <t>СГ75МТ-650</t>
  </si>
  <si>
    <t>СГ75МТ-800</t>
  </si>
  <si>
    <t>СГ75МТ-1000</t>
  </si>
  <si>
    <t>СГ75МТ-1600</t>
  </si>
  <si>
    <t>СГ75МТ-2500</t>
  </si>
  <si>
    <t>СГ75МТ-4000</t>
  </si>
  <si>
    <t>СГ75МТ</t>
  </si>
  <si>
    <t>Нет подходящего типоразмера для заданных условий. Попробуйте изменить исходные данные.</t>
  </si>
  <si>
    <t>Для указанных данных минимального и максимально избыточного давления нет подходящего диапазона измерени давления.</t>
  </si>
  <si>
    <t>Заполните все обязательные поля</t>
  </si>
  <si>
    <t xml:space="preserve">СГ-ЭК на базе счетчика </t>
  </si>
  <si>
    <t>-</t>
  </si>
  <si>
    <t>КПУ</t>
  </si>
  <si>
    <t>Фильтр ФГ16</t>
  </si>
  <si>
    <t>Клапан с медленным открытием</t>
  </si>
  <si>
    <t>Дополнительное оборудование:</t>
  </si>
  <si>
    <t>Заказчик:</t>
  </si>
  <si>
    <t>Наименование организации:</t>
  </si>
  <si>
    <t>ИНН:</t>
  </si>
  <si>
    <t>Телефон:</t>
  </si>
  <si>
    <t>Контактное лицо:</t>
  </si>
  <si>
    <t>Электронная почта:</t>
  </si>
  <si>
    <t>Настоящая программа разработана ООО «РАСКО Газэлектроника» с целью автоматизации процедуры подбора газоизмерительного оборудования. ООО «РАСКО Газэлектроника» не предоставляет Пользователю настоящей программы никаких гарантий касательно результатов подбора газоизмерительного оборудования, полученных в ходе использования настоящей программы. Любые результаты подбора газоизмерительного оборудования, полученные в ходе использования настоящей программы, являются предварительными и подлежат последующему согласованию с поставщиком газа до момента размещения заказа.</t>
  </si>
  <si>
    <t>ООО «РАСКО Газэлектроника» ни при каких обстоятельствах не несет перед Пользователем настоящей программы ответственности за убытки, включая реальный ущерб и упущенную выгоду, вызванные использованием или связанные с использованием настоящей программы.</t>
  </si>
  <si>
    <t>Перейти к заполнению опросного листа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</si>
</sst>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name val="Calibri"/>
      <family val="2"/>
      <scheme val="minor"/>
    </font>
    <font>
      <b/>
      <sz val="11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color theme="0" tint="-0.1499984740745262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FF8F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2" fillId="0" borderId="0" xfId="0" quotePrefix="1" applyFont="1" applyAlignment="1">
      <alignment horizontal="left"/>
    </xf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0" fillId="2" borderId="1" xfId="0" applyFill="1" applyBorder="1" applyProtection="1">
      <protection locked="0"/>
    </xf>
    <xf numFmtId="164" fontId="0" fillId="0" borderId="0" xfId="0" applyNumberFormat="1" applyProtection="1">
      <protection hidden="1"/>
    </xf>
    <xf numFmtId="0" fontId="1" fillId="0" borderId="0" xfId="0" applyFont="1"/>
    <xf numFmtId="0" fontId="0" fillId="0" borderId="0" xfId="0" applyBorder="1"/>
    <xf numFmtId="49" fontId="0" fillId="0" borderId="0" xfId="0" applyNumberFormat="1" applyBorder="1" applyAlignment="1">
      <alignment horizontal="right"/>
    </xf>
    <xf numFmtId="2" fontId="0" fillId="0" borderId="0" xfId="0" applyNumberFormat="1" applyBorder="1"/>
    <xf numFmtId="0" fontId="0" fillId="0" borderId="0" xfId="0" applyNumberFormat="1" applyAlignment="1">
      <alignment horizontal="left" vertical="top" wrapText="1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2" xfId="0" applyFill="1" applyBorder="1"/>
    <xf numFmtId="0" fontId="9" fillId="0" borderId="0" xfId="0" applyFont="1" applyFill="1" applyBorder="1"/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10" fillId="0" borderId="6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49" fontId="0" fillId="0" borderId="0" xfId="0" quotePrefix="1" applyNumberFormat="1" applyFill="1" applyBorder="1"/>
    <xf numFmtId="49" fontId="0" fillId="0" borderId="2" xfId="0" quotePrefix="1" applyNumberFormat="1" applyFill="1" applyBorder="1"/>
    <xf numFmtId="0" fontId="0" fillId="0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49" fontId="0" fillId="0" borderId="0" xfId="0" applyNumberFormat="1"/>
    <xf numFmtId="0" fontId="0" fillId="0" borderId="6" xfId="0" applyNumberFormat="1" applyBorder="1" applyAlignment="1">
      <alignment horizontal="left" vertical="top"/>
    </xf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0" fillId="2" borderId="0" xfId="0" applyFill="1" applyProtection="1">
      <protection locked="0"/>
    </xf>
    <xf numFmtId="49" fontId="0" fillId="2" borderId="0" xfId="0" applyNumberForma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 wrapText="1"/>
      <protection hidden="1"/>
    </xf>
    <xf numFmtId="0" fontId="17" fillId="0" borderId="0" xfId="1" applyAlignment="1">
      <alignment horizontal="left"/>
    </xf>
    <xf numFmtId="0" fontId="13" fillId="5" borderId="3" xfId="0" applyFont="1" applyFill="1" applyBorder="1" applyAlignment="1" applyProtection="1">
      <alignment horizontal="left"/>
      <protection locked="0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5" xfId="0" applyFont="1" applyFill="1" applyBorder="1" applyAlignment="1" applyProtection="1">
      <alignment horizontal="left"/>
      <protection locked="0"/>
    </xf>
    <xf numFmtId="0" fontId="14" fillId="0" borderId="0" xfId="0" applyFont="1" applyAlignment="1">
      <alignment horizontal="center"/>
    </xf>
    <xf numFmtId="0" fontId="13" fillId="5" borderId="2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</cellXfs>
  <cellStyles count="2">
    <cellStyle name="Гиперссылка" xfId="1" builtinId="8"/>
    <cellStyle name="Обычный" xfId="0" builtinId="0"/>
  </cellStyles>
  <dxfs count="6">
    <dxf>
      <font>
        <color auto="1"/>
      </font>
      <fill>
        <patternFill>
          <bgColor rgb="FFFFFFCC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 tint="-0.24994659260841701"/>
      </font>
    </dxf>
    <dxf>
      <font>
        <color theme="0"/>
      </font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colors>
    <mruColors>
      <color rgb="FFFFFFCC"/>
      <color rgb="FFF7FF8F"/>
      <color rgb="FFF3FA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fmlaLink="$T$28" lockText="1" noThreeD="1"/>
</file>

<file path=xl/ctrlProps/ctrlProp2.xml><?xml version="1.0" encoding="utf-8"?>
<formControlPr xmlns="http://schemas.microsoft.com/office/spreadsheetml/2009/9/main" objectType="CheckBox" fmlaLink="$T$30" lockText="1" noThreeD="1"/>
</file>

<file path=xl/ctrlProps/ctrlProp3.xml><?xml version="1.0" encoding="utf-8"?>
<formControlPr xmlns="http://schemas.microsoft.com/office/spreadsheetml/2009/9/main" objectType="CheckBox" fmlaLink="$T$3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0</xdr:row>
      <xdr:rowOff>104775</xdr:rowOff>
    </xdr:from>
    <xdr:to>
      <xdr:col>5</xdr:col>
      <xdr:colOff>523875</xdr:colOff>
      <xdr:row>1</xdr:row>
      <xdr:rowOff>866775</xdr:rowOff>
    </xdr:to>
    <xdr:pic>
      <xdr:nvPicPr>
        <xdr:cNvPr id="2" name="Рисунок 1" descr="Логотип ООО «РАСКО Газэлектроника»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4775"/>
          <a:ext cx="29241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276225</xdr:colOff>
      <xdr:row>0</xdr:row>
      <xdr:rowOff>152400</xdr:rowOff>
    </xdr:from>
    <xdr:to>
      <xdr:col>13</xdr:col>
      <xdr:colOff>0</xdr:colOff>
      <xdr:row>14</xdr:row>
      <xdr:rowOff>19050</xdr:rowOff>
    </xdr:to>
    <xdr:pic>
      <xdr:nvPicPr>
        <xdr:cNvPr id="5" name="Рисунок 4" descr="Измерительный комплекс СГ-ЭК с корректором EK270 на базе ротационного счетчика газа РГ-Р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52400"/>
          <a:ext cx="338137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76201</xdr:colOff>
      <xdr:row>0</xdr:row>
      <xdr:rowOff>142875</xdr:rowOff>
    </xdr:from>
    <xdr:to>
      <xdr:col>7</xdr:col>
      <xdr:colOff>246507</xdr:colOff>
      <xdr:row>4</xdr:row>
      <xdr:rowOff>180975</xdr:rowOff>
    </xdr:to>
    <xdr:pic>
      <xdr:nvPicPr>
        <xdr:cNvPr id="2" name="Рисунок 1" descr="Логотип ООО «РАСКО Газэлектроника»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42875"/>
          <a:ext cx="24563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26</xdr:row>
          <xdr:rowOff>180975</xdr:rowOff>
        </xdr:from>
        <xdr:to>
          <xdr:col>1</xdr:col>
          <xdr:colOff>352425</xdr:colOff>
          <xdr:row>28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180975</xdr:rowOff>
        </xdr:from>
        <xdr:to>
          <xdr:col>1</xdr:col>
          <xdr:colOff>323850</xdr:colOff>
          <xdr:row>30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30</xdr:row>
          <xdr:rowOff>0</xdr:rowOff>
        </xdr:from>
        <xdr:to>
          <xdr:col>1</xdr:col>
          <xdr:colOff>352425</xdr:colOff>
          <xdr:row>31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10</xdr:col>
      <xdr:colOff>200025</xdr:colOff>
      <xdr:row>9</xdr:row>
      <xdr:rowOff>9525</xdr:rowOff>
    </xdr:from>
    <xdr:to>
      <xdr:col>15</xdr:col>
      <xdr:colOff>295275</xdr:colOff>
      <xdr:row>13</xdr:row>
      <xdr:rowOff>57150</xdr:rowOff>
    </xdr:to>
    <xdr:sp macro="" textlink="">
      <xdr:nvSpPr>
        <xdr:cNvPr id="3" name="TextBox 2"/>
        <xdr:cNvSpPr txBox="1"/>
      </xdr:nvSpPr>
      <xdr:spPr>
        <a:xfrm>
          <a:off x="3629025" y="1800225"/>
          <a:ext cx="200025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/>
            <a:t>Заполните</a:t>
          </a:r>
          <a:r>
            <a:rPr lang="ru-RU" sz="1100" baseline="0"/>
            <a:t> поля с желтым фоном и раздел Дополнительные опции и оборудование</a:t>
          </a:r>
          <a:endParaRPr lang="ru-RU" sz="1100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38</xdr:row>
          <xdr:rowOff>180975</xdr:rowOff>
        </xdr:from>
        <xdr:to>
          <xdr:col>1</xdr:col>
          <xdr:colOff>352425</xdr:colOff>
          <xdr:row>40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39</xdr:row>
          <xdr:rowOff>0</xdr:rowOff>
        </xdr:from>
        <xdr:to>
          <xdr:col>3</xdr:col>
          <xdr:colOff>342900</xdr:colOff>
          <xdr:row>40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39</xdr:row>
          <xdr:rowOff>0</xdr:rowOff>
        </xdr:from>
        <xdr:to>
          <xdr:col>6</xdr:col>
          <xdr:colOff>352425</xdr:colOff>
          <xdr:row>40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O71"/>
  <sheetViews>
    <sheetView showGridLines="0" showRowColHeaders="0" tabSelected="1" zoomScaleNormal="100" zoomScaleSheetLayoutView="100" workbookViewId="0">
      <selection activeCell="F5" sqref="F5"/>
    </sheetView>
  </sheetViews>
  <sheetFormatPr defaultRowHeight="15" x14ac:dyDescent="0.25"/>
  <sheetData>
    <row r="2" spans="2:6" ht="99.95" customHeight="1" x14ac:dyDescent="0.25"/>
    <row r="3" spans="2:6" ht="23.25" x14ac:dyDescent="0.35">
      <c r="B3" s="14" t="str">
        <f>Лист2!B11</f>
        <v>СГ-ЭК</v>
      </c>
    </row>
    <row r="5" spans="2:6" x14ac:dyDescent="0.25">
      <c r="B5" t="s">
        <v>31</v>
      </c>
      <c r="F5" s="15"/>
    </row>
    <row r="6" spans="2:6" ht="5.0999999999999996" customHeight="1" x14ac:dyDescent="0.25"/>
    <row r="7" spans="2:6" x14ac:dyDescent="0.25">
      <c r="B7" t="s">
        <v>32</v>
      </c>
      <c r="F7" s="15"/>
    </row>
    <row r="8" spans="2:6" ht="5.0999999999999996" customHeight="1" x14ac:dyDescent="0.25"/>
    <row r="9" spans="2:6" x14ac:dyDescent="0.25">
      <c r="B9" t="s">
        <v>33</v>
      </c>
      <c r="F9" s="15"/>
    </row>
    <row r="10" spans="2:6" ht="5.0999999999999996" customHeight="1" x14ac:dyDescent="0.25"/>
    <row r="11" spans="2:6" x14ac:dyDescent="0.25">
      <c r="B11" t="s">
        <v>34</v>
      </c>
      <c r="F11" s="15"/>
    </row>
    <row r="12" spans="2:6" ht="5.0999999999999996" customHeight="1" x14ac:dyDescent="0.25"/>
    <row r="13" spans="2:6" x14ac:dyDescent="0.25">
      <c r="B13" t="s">
        <v>0</v>
      </c>
      <c r="F13" s="53"/>
    </row>
    <row r="14" spans="2:6" ht="5.0999999999999996" customHeight="1" x14ac:dyDescent="0.25"/>
    <row r="15" spans="2:6" ht="15" customHeight="1" x14ac:dyDescent="0.25">
      <c r="B15" t="s">
        <v>176</v>
      </c>
      <c r="F15" s="54"/>
    </row>
    <row r="16" spans="2:6" ht="5.0999999999999996" customHeight="1" x14ac:dyDescent="0.25"/>
    <row r="17" spans="1:15" x14ac:dyDescent="0.25">
      <c r="B17" s="17" t="s">
        <v>35</v>
      </c>
    </row>
    <row r="19" spans="1:15" x14ac:dyDescent="0.25">
      <c r="B19" t="s">
        <v>19</v>
      </c>
      <c r="F19" s="16" t="str">
        <f>IF(Лист2!E12,Лист2!C8,"")</f>
        <v/>
      </c>
    </row>
    <row r="20" spans="1:15" ht="5.0999999999999996" customHeight="1" x14ac:dyDescent="0.25"/>
    <row r="21" spans="1:15" x14ac:dyDescent="0.25">
      <c r="B21" t="s">
        <v>20</v>
      </c>
      <c r="F21" s="16" t="str">
        <f>IF(Лист2!E12,Лист2!C9,"")</f>
        <v/>
      </c>
    </row>
    <row r="23" spans="1:15" x14ac:dyDescent="0.25">
      <c r="A23" s="13" t="s">
        <v>26</v>
      </c>
      <c r="B23" s="55" t="s">
        <v>28</v>
      </c>
      <c r="C23" s="7" t="s">
        <v>38</v>
      </c>
    </row>
    <row r="24" spans="1:15" ht="5.0999999999999996" customHeight="1" x14ac:dyDescent="0.25">
      <c r="A24" s="12"/>
    </row>
    <row r="26" spans="1:15" x14ac:dyDescent="0.25">
      <c r="B26" s="58" t="str">
        <f>Лист2!D28</f>
        <v>Примечание:
Заполните все обязательные поля</v>
      </c>
      <c r="C26" s="58"/>
      <c r="D26" s="58"/>
      <c r="E26" s="58"/>
      <c r="F26" s="58"/>
      <c r="G26" s="58"/>
      <c r="H26" s="58"/>
      <c r="I26" s="58"/>
    </row>
    <row r="27" spans="1:15" x14ac:dyDescent="0.25">
      <c r="B27" s="58"/>
      <c r="C27" s="58"/>
      <c r="D27" s="58"/>
      <c r="E27" s="58"/>
      <c r="F27" s="58"/>
      <c r="G27" s="58"/>
      <c r="H27" s="58"/>
      <c r="I27" s="58"/>
    </row>
    <row r="28" spans="1:15" x14ac:dyDescent="0.25">
      <c r="B28" s="58"/>
      <c r="C28" s="58"/>
      <c r="D28" s="58"/>
      <c r="E28" s="58"/>
      <c r="F28" s="58"/>
      <c r="G28" s="58"/>
      <c r="H28" s="58"/>
      <c r="I28" s="58"/>
    </row>
    <row r="29" spans="1:15" x14ac:dyDescent="0.25">
      <c r="B29" s="58"/>
      <c r="C29" s="58"/>
      <c r="D29" s="58"/>
      <c r="E29" s="58"/>
      <c r="F29" s="58"/>
      <c r="G29" s="58"/>
      <c r="H29" s="58"/>
      <c r="I29" s="58"/>
    </row>
    <row r="30" spans="1:15" x14ac:dyDescent="0.25">
      <c r="B30" s="59" t="s">
        <v>205</v>
      </c>
      <c r="C30" s="59"/>
      <c r="D30" s="59"/>
      <c r="E30" s="59"/>
      <c r="F30" s="59"/>
    </row>
    <row r="31" spans="1:15" x14ac:dyDescent="0.25">
      <c r="O31" s="12" t="s">
        <v>30</v>
      </c>
    </row>
    <row r="70" spans="2:2" x14ac:dyDescent="0.25">
      <c r="B70" s="52" t="s">
        <v>203</v>
      </c>
    </row>
    <row r="71" spans="2:2" x14ac:dyDescent="0.25">
      <c r="B71" s="52" t="s">
        <v>204</v>
      </c>
    </row>
  </sheetData>
  <sheetProtection password="C52E" sheet="1" objects="1" scenarios="1" selectLockedCells="1"/>
  <mergeCells count="2">
    <mergeCell ref="B26:I29"/>
    <mergeCell ref="B30:F30"/>
  </mergeCells>
  <dataValidations count="4">
    <dataValidation type="custom" allowBlank="1" showInputMessage="1" showErrorMessage="1" errorTitle="Ошибка" error="Миксимальный расход не может быть меньше минимального" sqref="F7">
      <formula1>F7&gt;=F5</formula1>
    </dataValidation>
    <dataValidation type="custom" allowBlank="1" showInputMessage="1" showErrorMessage="1" errorTitle="Ошибка" error="Расход не может быть отрицательным" sqref="F5">
      <formula1>F5&gt;=0</formula1>
    </dataValidation>
    <dataValidation type="custom" allowBlank="1" showInputMessage="1" showErrorMessage="1" errorTitle="Ошибка" error="Давление не может быть отрицательным и больше 7,5 МПа" sqref="F9">
      <formula1>AND(F9&gt;=0,F9&lt;=7.5)</formula1>
    </dataValidation>
    <dataValidation type="custom" allowBlank="1" showInputMessage="1" showErrorMessage="1" errorTitle="Ошибка" error="Максимальное давление не может быть меньше минимального и больше 7,5 МПа" sqref="F11">
      <formula1>AND(F11&gt;=F9,F11&lt;=7.5)</formula1>
    </dataValidation>
  </dataValidations>
  <hyperlinks>
    <hyperlink ref="B30" location="'Опросный лист'!A1" display="Перейти к заполнению опросного листа"/>
    <hyperlink ref="B30:F30" location="'Опросный лист'!G25" display="Перейти к заполнению опросного листа"/>
  </hyperlinks>
  <pageMargins left="0.7" right="0.7" top="0.75" bottom="0.75" header="0.3" footer="0.3"/>
  <pageSetup paperSize="9" scale="64" orientation="portrait" horizontalDpi="1200" verticalDpi="12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F0D5A19-3650-442B-8153-EF54C3980CBE}">
            <xm:f>NOT(Лист2!$E$12)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B26:I29</xm:sqref>
        </x14:conditionalFormatting>
        <x14:conditionalFormatting xmlns:xm="http://schemas.microsoft.com/office/excel/2006/main">
          <x14:cfRule type="expression" priority="1" id="{F0FF51B8-4ED7-433C-81D1-B3CBA44A850D}">
            <xm:f>NOT(Лист2!$E$12)</xm:f>
            <x14:dxf>
              <font>
                <color theme="0"/>
              </font>
            </x14:dxf>
          </x14:cfRule>
          <xm:sqref>B30:F30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Лист2!$F$3:$F$4</xm:f>
          </x14:formula1>
          <xm:sqref>B23</xm:sqref>
        </x14:dataValidation>
        <x14:dataValidation type="list" allowBlank="1" showInputMessage="1" showErrorMessage="1">
          <x14:formula1>
            <xm:f>Лист2!$H$14:$H$17</xm:f>
          </x14:formula1>
          <xm:sqref>F15</xm:sqref>
        </x14:dataValidation>
        <x14:dataValidation type="list" allowBlank="1" showInputMessage="1" showErrorMessage="1">
          <x14:formula1>
            <xm:f>Лист2!$E$3:$E$9</xm:f>
          </x14:formula1>
          <xm:sqref>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B1:T54"/>
  <sheetViews>
    <sheetView showGridLines="0" showRowColHeaders="0" zoomScaleNormal="100" zoomScaleSheetLayoutView="100" workbookViewId="0">
      <selection activeCell="G25" sqref="G25:I25"/>
    </sheetView>
  </sheetViews>
  <sheetFormatPr defaultRowHeight="15" x14ac:dyDescent="0.25"/>
  <cols>
    <col min="1" max="1" width="3.7109375" customWidth="1"/>
    <col min="2" max="16" width="5.7109375" customWidth="1"/>
    <col min="17" max="19" width="5.7109375" hidden="1" customWidth="1"/>
    <col min="20" max="20" width="0" hidden="1" customWidth="1"/>
  </cols>
  <sheetData>
    <row r="1" spans="2:16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0" t="s">
        <v>55</v>
      </c>
    </row>
    <row r="2" spans="2:16" x14ac:dyDescent="0.2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1" t="s">
        <v>56</v>
      </c>
    </row>
    <row r="3" spans="2:16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1" t="s">
        <v>57</v>
      </c>
    </row>
    <row r="4" spans="2:16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1" t="s">
        <v>58</v>
      </c>
    </row>
    <row r="5" spans="2:16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1" t="s">
        <v>82</v>
      </c>
    </row>
    <row r="6" spans="2:16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2:16" ht="18" x14ac:dyDescent="0.25">
      <c r="B7" s="63" t="s">
        <v>59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2:16" ht="18" x14ac:dyDescent="0.25">
      <c r="B8" s="63" t="s">
        <v>60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2:16" x14ac:dyDescent="0.2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2:16" x14ac:dyDescent="0.25">
      <c r="B10" s="35" t="s">
        <v>61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2:16" x14ac:dyDescent="0.25">
      <c r="B11" s="36" t="str">
        <f>CONCATENATE("Минимальный расход: ",'СГ-ЭК'!F5," м³/ч")</f>
        <v>Минимальный расход:  м³/ч</v>
      </c>
      <c r="C11" s="34"/>
      <c r="D11" s="34"/>
      <c r="E11" s="34"/>
      <c r="F11" s="34"/>
      <c r="G11" s="34"/>
      <c r="H11" s="34"/>
      <c r="I11" s="36"/>
      <c r="J11" s="34"/>
      <c r="K11" s="34"/>
      <c r="L11" s="34"/>
      <c r="M11" s="34"/>
      <c r="N11" s="34"/>
      <c r="O11" s="34"/>
      <c r="P11" s="34"/>
    </row>
    <row r="12" spans="2:16" x14ac:dyDescent="0.25">
      <c r="B12" s="36" t="str">
        <f>CONCATENATE("Максимальный расход: ",'СГ-ЭК'!F7," м³/ч")</f>
        <v>Максимальный расход:  м³/ч</v>
      </c>
      <c r="C12" s="34"/>
      <c r="D12" s="34"/>
      <c r="E12" s="34"/>
      <c r="F12" s="34"/>
      <c r="G12" s="34"/>
      <c r="H12" s="34"/>
      <c r="I12" s="36"/>
      <c r="J12" s="34"/>
      <c r="K12" s="34"/>
      <c r="L12" s="34"/>
      <c r="M12" s="34"/>
      <c r="N12" s="34"/>
      <c r="O12" s="34"/>
      <c r="P12" s="34"/>
    </row>
    <row r="13" spans="2:16" x14ac:dyDescent="0.25">
      <c r="B13" s="36" t="str">
        <f>CONCATENATE("Минимальное изб. давление: ",'СГ-ЭК'!F9," МПа")</f>
        <v>Минимальное изб. давление:  МПа</v>
      </c>
      <c r="C13" s="34"/>
      <c r="D13" s="34"/>
      <c r="E13" s="34"/>
      <c r="F13" s="34"/>
      <c r="G13" s="34"/>
      <c r="H13" s="34"/>
      <c r="I13" s="36"/>
      <c r="J13" s="34"/>
      <c r="K13" s="34"/>
      <c r="L13" s="34"/>
      <c r="M13" s="34"/>
      <c r="N13" s="34"/>
      <c r="O13" s="34"/>
      <c r="P13" s="34"/>
    </row>
    <row r="14" spans="2:16" x14ac:dyDescent="0.25">
      <c r="B14" s="36" t="str">
        <f>CONCATENATE("Максимальное изб. давление: ",'СГ-ЭК'!F11," МПа")</f>
        <v>Максимальное изб. давление:  МПа</v>
      </c>
      <c r="C14" s="34"/>
      <c r="D14" s="34"/>
      <c r="E14" s="34"/>
      <c r="F14" s="34"/>
      <c r="G14" s="34"/>
      <c r="H14" s="34"/>
      <c r="I14" s="36"/>
      <c r="J14" s="34"/>
      <c r="K14" s="34"/>
      <c r="L14" s="34"/>
      <c r="M14" s="34"/>
      <c r="N14" s="34"/>
      <c r="O14" s="34"/>
      <c r="P14" s="34"/>
    </row>
    <row r="15" spans="2:16" x14ac:dyDescent="0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2:16" x14ac:dyDescent="0.25">
      <c r="B16" s="35" t="s">
        <v>63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20" x14ac:dyDescent="0.25">
      <c r="B17" s="37" t="str">
        <f>IF(Лист2!$K$12=Q17,"Х","")</f>
        <v>Х</v>
      </c>
      <c r="C17" s="34" t="s">
        <v>65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>
        <v>1</v>
      </c>
    </row>
    <row r="18" spans="2:20" x14ac:dyDescent="0.25">
      <c r="B18" s="37" t="str">
        <f>IF(Лист2!$K$12=Q18,"Х","")</f>
        <v/>
      </c>
      <c r="C18" s="34" t="s">
        <v>64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>
        <v>2</v>
      </c>
    </row>
    <row r="19" spans="2:20" x14ac:dyDescent="0.25">
      <c r="B19" s="37" t="str">
        <f>IF(Лист2!$K$12=Q19,"Х","")</f>
        <v/>
      </c>
      <c r="C19" s="34" t="s">
        <v>62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>
        <v>3</v>
      </c>
    </row>
    <row r="20" spans="2:20" x14ac:dyDescent="0.25">
      <c r="B20" s="37" t="str">
        <f>IF(Лист2!$K$12=Q20,"Х","")</f>
        <v/>
      </c>
      <c r="C20" s="34" t="s">
        <v>66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>
        <v>4</v>
      </c>
    </row>
    <row r="21" spans="2:20" x14ac:dyDescent="0.25">
      <c r="B21" s="37" t="str">
        <f>IF(Лист2!$K$12=Q21,"Х","")</f>
        <v/>
      </c>
      <c r="C21" s="34" t="s">
        <v>67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>
        <v>5</v>
      </c>
    </row>
    <row r="22" spans="2:20" x14ac:dyDescent="0.25">
      <c r="B22" s="37" t="str">
        <f>IF(Лист2!$K$12=Q22,"Х","")</f>
        <v/>
      </c>
      <c r="C22" s="34" t="s">
        <v>68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>
        <v>6</v>
      </c>
    </row>
    <row r="23" spans="2:20" x14ac:dyDescent="0.25">
      <c r="B23" s="37" t="str">
        <f>IF(Лист2!$K$12=Q23,"Х","")</f>
        <v/>
      </c>
      <c r="C23" s="34" t="s">
        <v>69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>
        <v>7</v>
      </c>
    </row>
    <row r="24" spans="2:20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2:20" x14ac:dyDescent="0.25">
      <c r="B25" s="35" t="s">
        <v>70</v>
      </c>
      <c r="C25" s="34"/>
      <c r="D25" s="34"/>
      <c r="E25" s="34"/>
      <c r="F25" s="34"/>
      <c r="G25" s="60" t="s">
        <v>71</v>
      </c>
      <c r="H25" s="61"/>
      <c r="I25" s="62"/>
      <c r="J25" s="34"/>
      <c r="K25" s="34"/>
      <c r="L25" s="34"/>
      <c r="M25" s="34"/>
      <c r="N25" s="34"/>
      <c r="O25" s="34"/>
      <c r="P25" s="34"/>
      <c r="Q25" t="s">
        <v>71</v>
      </c>
    </row>
    <row r="26" spans="2:20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t="s">
        <v>72</v>
      </c>
    </row>
    <row r="27" spans="2:20" x14ac:dyDescent="0.25">
      <c r="B27" s="35" t="s">
        <v>75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t="s">
        <v>73</v>
      </c>
    </row>
    <row r="28" spans="2:20" x14ac:dyDescent="0.25">
      <c r="B28" s="34"/>
      <c r="C28" s="65" t="s">
        <v>76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t="s">
        <v>74</v>
      </c>
      <c r="T28" s="57" t="b">
        <v>1</v>
      </c>
    </row>
    <row r="29" spans="2:20" x14ac:dyDescent="0.25">
      <c r="B29" s="34"/>
      <c r="C29" s="34" t="s">
        <v>77</v>
      </c>
      <c r="D29" s="34"/>
      <c r="E29" s="34"/>
      <c r="F29" s="34"/>
      <c r="G29" s="34"/>
      <c r="H29" s="34"/>
      <c r="I29" s="34"/>
      <c r="J29" s="34"/>
      <c r="K29" s="56">
        <v>6.3</v>
      </c>
      <c r="L29" s="34"/>
      <c r="M29" s="34"/>
      <c r="N29" s="34"/>
      <c r="O29" s="34"/>
      <c r="P29" s="34"/>
    </row>
    <row r="30" spans="2:20" x14ac:dyDescent="0.25">
      <c r="B30" s="34"/>
      <c r="C30" s="34" t="s">
        <v>78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>
        <f>IF($T$28,1.6,"")</f>
        <v>1.6</v>
      </c>
      <c r="T30" s="57" t="b">
        <v>0</v>
      </c>
    </row>
    <row r="31" spans="2:20" x14ac:dyDescent="0.25">
      <c r="B31" s="34"/>
      <c r="C31" s="34" t="s">
        <v>79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>
        <f>IF($T$28,2.5,"")</f>
        <v>2.5</v>
      </c>
      <c r="T31" s="57" t="b">
        <v>0</v>
      </c>
    </row>
    <row r="32" spans="2:20" x14ac:dyDescent="0.25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>
        <f>IF($T$28,4,"")</f>
        <v>4</v>
      </c>
    </row>
    <row r="33" spans="2:17" x14ac:dyDescent="0.25">
      <c r="B33" s="35" t="s">
        <v>80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>
        <f>IF($T$28,6.3,"")</f>
        <v>6.3</v>
      </c>
    </row>
    <row r="34" spans="2:17" x14ac:dyDescent="0.25">
      <c r="B34" s="34" t="str">
        <f>IF(Лист2!E12,CONCATENATE(Лист3!C184," (",Лист3!G184,") ",IF('СГ-ЭК'!B23="2У","исполнение 2У","")),"")</f>
        <v/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>
        <f>IF($T$28,10,"")</f>
        <v>10</v>
      </c>
    </row>
    <row r="35" spans="2:17" x14ac:dyDescent="0.2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>
        <f>IF($T$28,16,"")</f>
        <v>16</v>
      </c>
    </row>
    <row r="36" spans="2:17" x14ac:dyDescent="0.25">
      <c r="B36" s="35" t="s">
        <v>81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>
        <f>IF($T$28,25,"")</f>
        <v>25</v>
      </c>
    </row>
    <row r="37" spans="2:17" x14ac:dyDescent="0.25">
      <c r="B37" s="34" t="str">
        <f>IF(Лист2!E12,Лист2!B11,"")</f>
        <v/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>
        <f>IF($T$28,40,"")</f>
        <v>40</v>
      </c>
    </row>
    <row r="38" spans="2:17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2:17" x14ac:dyDescent="0.25">
      <c r="B39" s="35" t="s">
        <v>196</v>
      </c>
      <c r="O39" s="34"/>
      <c r="P39" s="34"/>
    </row>
    <row r="40" spans="2:17" x14ac:dyDescent="0.25">
      <c r="B40" s="34"/>
      <c r="C40" s="34" t="s">
        <v>193</v>
      </c>
      <c r="D40" s="34"/>
      <c r="E40" s="34" t="s">
        <v>194</v>
      </c>
      <c r="F40" s="34"/>
      <c r="G40" s="34"/>
      <c r="H40" s="34" t="s">
        <v>195</v>
      </c>
      <c r="I40" s="34"/>
      <c r="J40" s="34"/>
      <c r="K40" s="34"/>
      <c r="L40" s="34"/>
      <c r="M40" s="34"/>
      <c r="N40" s="34"/>
      <c r="O40" s="34"/>
      <c r="P40" s="34"/>
    </row>
    <row r="41" spans="2:17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2:17" x14ac:dyDescent="0.25">
      <c r="B42" s="35" t="s">
        <v>197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2:17" x14ac:dyDescent="0.25">
      <c r="C43" s="34"/>
      <c r="D43" s="34"/>
      <c r="E43" s="34"/>
      <c r="F43" s="31" t="s">
        <v>198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2:17" ht="5.0999999999999996" customHeight="1" x14ac:dyDescent="0.25">
      <c r="C44" s="34"/>
      <c r="D44" s="34"/>
      <c r="E44" s="34"/>
      <c r="F44" s="31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2:17" x14ac:dyDescent="0.25">
      <c r="C45" s="34"/>
      <c r="D45" s="34"/>
      <c r="E45" s="34"/>
      <c r="F45" s="31" t="s">
        <v>199</v>
      </c>
      <c r="G45" s="64"/>
      <c r="H45" s="64"/>
      <c r="I45" s="64"/>
      <c r="J45" s="64"/>
      <c r="K45" s="34"/>
      <c r="L45" s="34"/>
      <c r="M45" s="34"/>
      <c r="N45" s="34"/>
      <c r="O45" s="34"/>
      <c r="P45" s="34"/>
    </row>
    <row r="46" spans="2:17" ht="5.0999999999999996" customHeight="1" x14ac:dyDescent="0.25">
      <c r="C46" s="34"/>
      <c r="D46" s="34"/>
      <c r="E46" s="34"/>
      <c r="F46" s="31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2:17" x14ac:dyDescent="0.25">
      <c r="C47" s="34"/>
      <c r="D47" s="34"/>
      <c r="E47" s="34"/>
      <c r="F47" s="31" t="s">
        <v>201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</row>
    <row r="48" spans="2:17" ht="5.0999999999999996" customHeight="1" x14ac:dyDescent="0.25">
      <c r="C48" s="34"/>
      <c r="D48" s="34"/>
      <c r="E48" s="34"/>
      <c r="F48" s="31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16" x14ac:dyDescent="0.25">
      <c r="C49" s="34"/>
      <c r="D49" s="34"/>
      <c r="E49" s="34"/>
      <c r="F49" s="31" t="s">
        <v>200</v>
      </c>
      <c r="G49" s="64"/>
      <c r="H49" s="64"/>
      <c r="I49" s="64"/>
      <c r="J49" s="64"/>
      <c r="K49" s="64"/>
      <c r="L49" s="34"/>
      <c r="M49" s="34"/>
      <c r="N49" s="34"/>
      <c r="O49" s="34"/>
      <c r="P49" s="34"/>
    </row>
    <row r="50" spans="2:16" ht="5.0999999999999996" customHeight="1" x14ac:dyDescent="0.25">
      <c r="C50" s="34"/>
      <c r="D50" s="34"/>
      <c r="E50" s="34"/>
      <c r="F50" s="31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2:16" x14ac:dyDescent="0.25">
      <c r="C51" s="34"/>
      <c r="D51" s="34"/>
      <c r="E51" s="34"/>
      <c r="F51" s="31" t="s">
        <v>202</v>
      </c>
      <c r="G51" s="64"/>
      <c r="H51" s="64"/>
      <c r="I51" s="64"/>
      <c r="J51" s="64"/>
      <c r="K51" s="64"/>
      <c r="L51" s="64"/>
      <c r="M51" s="64"/>
      <c r="N51" s="34"/>
      <c r="O51" s="34"/>
      <c r="P51" s="34"/>
    </row>
    <row r="52" spans="2:16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2:16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2:16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</sheetData>
  <sheetProtection password="93D9" sheet="1" objects="1" scenarios="1" selectLockedCells="1"/>
  <mergeCells count="9">
    <mergeCell ref="G25:I25"/>
    <mergeCell ref="B7:P7"/>
    <mergeCell ref="B8:P8"/>
    <mergeCell ref="G43:P43"/>
    <mergeCell ref="G51:M51"/>
    <mergeCell ref="G45:J45"/>
    <mergeCell ref="G47:P47"/>
    <mergeCell ref="G49:K49"/>
    <mergeCell ref="C28:P28"/>
  </mergeCells>
  <conditionalFormatting sqref="C29">
    <cfRule type="expression" dxfId="3" priority="3">
      <formula>NOT($T$28)</formula>
    </cfRule>
    <cfRule type="expression" dxfId="2" priority="4">
      <formula>$T$28</formula>
    </cfRule>
  </conditionalFormatting>
  <conditionalFormatting sqref="K29">
    <cfRule type="expression" dxfId="1" priority="1">
      <formula>NOT($T$28)</formula>
    </cfRule>
    <cfRule type="expression" dxfId="0" priority="2">
      <formula>$T$28</formula>
    </cfRule>
  </conditionalFormatting>
  <dataValidations count="2">
    <dataValidation type="list" allowBlank="1" showInputMessage="1" showErrorMessage="1" sqref="G25:I25">
      <formula1>$Q$25:$Q$28</formula1>
    </dataValidation>
    <dataValidation type="list" allowBlank="1" showInputMessage="1" showErrorMessage="1" sqref="K29">
      <formula1>$Q$30:$Q$37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&amp;L&amp;8Опросный лист автоматической программы подбора СГ-ЭК, верс. 07.2023&amp;R&amp;10&amp;D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 ">
                <anchor moveWithCells="1">
                  <from>
                    <xdr:col>1</xdr:col>
                    <xdr:colOff>114300</xdr:colOff>
                    <xdr:row>26</xdr:row>
                    <xdr:rowOff>180975</xdr:rowOff>
                  </from>
                  <to>
                    <xdr:col>1</xdr:col>
                    <xdr:colOff>352425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 altText=" ">
                <anchor moveWithCells="1">
                  <from>
                    <xdr:col>1</xdr:col>
                    <xdr:colOff>114300</xdr:colOff>
                    <xdr:row>28</xdr:row>
                    <xdr:rowOff>180975</xdr:rowOff>
                  </from>
                  <to>
                    <xdr:col>1</xdr:col>
                    <xdr:colOff>323850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 altText=" ">
                <anchor moveWithCells="1">
                  <from>
                    <xdr:col>1</xdr:col>
                    <xdr:colOff>114300</xdr:colOff>
                    <xdr:row>30</xdr:row>
                    <xdr:rowOff>0</xdr:rowOff>
                  </from>
                  <to>
                    <xdr:col>1</xdr:col>
                    <xdr:colOff>352425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 altText=" ">
                <anchor moveWithCells="1">
                  <from>
                    <xdr:col>1</xdr:col>
                    <xdr:colOff>142875</xdr:colOff>
                    <xdr:row>38</xdr:row>
                    <xdr:rowOff>180975</xdr:rowOff>
                  </from>
                  <to>
                    <xdr:col>1</xdr:col>
                    <xdr:colOff>352425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 altText=" ">
                <anchor moveWithCells="1">
                  <from>
                    <xdr:col>3</xdr:col>
                    <xdr:colOff>133350</xdr:colOff>
                    <xdr:row>39</xdr:row>
                    <xdr:rowOff>0</xdr:rowOff>
                  </from>
                  <to>
                    <xdr:col>3</xdr:col>
                    <xdr:colOff>342900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 altText=" ">
                <anchor moveWithCells="1">
                  <from>
                    <xdr:col>6</xdr:col>
                    <xdr:colOff>142875</xdr:colOff>
                    <xdr:row>39</xdr:row>
                    <xdr:rowOff>0</xdr:rowOff>
                  </from>
                  <to>
                    <xdr:col>6</xdr:col>
                    <xdr:colOff>352425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L28"/>
  <sheetViews>
    <sheetView workbookViewId="0">
      <selection activeCell="B11" sqref="B11"/>
    </sheetView>
  </sheetViews>
  <sheetFormatPr defaultRowHeight="15" x14ac:dyDescent="0.25"/>
  <sheetData>
    <row r="2" spans="1:12" x14ac:dyDescent="0.25">
      <c r="B2" t="s">
        <v>1</v>
      </c>
      <c r="C2">
        <f>'СГ-ЭК'!F5</f>
        <v>0</v>
      </c>
      <c r="E2" t="s">
        <v>6</v>
      </c>
      <c r="F2" t="s">
        <v>27</v>
      </c>
      <c r="H2" s="29" t="s">
        <v>54</v>
      </c>
      <c r="I2" s="29" t="s">
        <v>52</v>
      </c>
      <c r="J2" s="29" t="s">
        <v>53</v>
      </c>
    </row>
    <row r="3" spans="1:12" x14ac:dyDescent="0.25">
      <c r="B3" t="s">
        <v>2</v>
      </c>
      <c r="C3">
        <f>'СГ-ЭК'!F7</f>
        <v>0</v>
      </c>
      <c r="E3">
        <v>50</v>
      </c>
      <c r="F3" t="s">
        <v>28</v>
      </c>
      <c r="H3">
        <v>1</v>
      </c>
      <c r="I3" s="29">
        <v>0.08</v>
      </c>
      <c r="J3" s="29">
        <v>0.2</v>
      </c>
    </row>
    <row r="4" spans="1:12" x14ac:dyDescent="0.25">
      <c r="B4" t="s">
        <v>3</v>
      </c>
      <c r="C4">
        <f>'СГ-ЭК'!F9</f>
        <v>0</v>
      </c>
      <c r="E4">
        <v>80</v>
      </c>
      <c r="F4" t="s">
        <v>29</v>
      </c>
      <c r="H4">
        <v>2</v>
      </c>
      <c r="I4" s="29">
        <v>0.1</v>
      </c>
      <c r="J4" s="29">
        <v>0.5</v>
      </c>
    </row>
    <row r="5" spans="1:12" x14ac:dyDescent="0.25">
      <c r="B5" t="s">
        <v>4</v>
      </c>
      <c r="C5">
        <f>'СГ-ЭК'!F11</f>
        <v>0</v>
      </c>
      <c r="E5">
        <v>100</v>
      </c>
      <c r="H5">
        <v>3</v>
      </c>
      <c r="I5" s="29">
        <v>0.15</v>
      </c>
      <c r="J5" s="29">
        <v>0.75</v>
      </c>
    </row>
    <row r="6" spans="1:12" x14ac:dyDescent="0.25">
      <c r="B6" t="s">
        <v>5</v>
      </c>
      <c r="C6">
        <f>'СГ-ЭК'!F13</f>
        <v>0</v>
      </c>
      <c r="E6">
        <v>150</v>
      </c>
      <c r="H6">
        <v>4</v>
      </c>
      <c r="I6" s="29">
        <v>0.2</v>
      </c>
      <c r="J6" s="50">
        <v>1</v>
      </c>
    </row>
    <row r="7" spans="1:12" x14ac:dyDescent="0.25">
      <c r="B7" t="s">
        <v>9</v>
      </c>
      <c r="C7">
        <v>0.101325</v>
      </c>
      <c r="E7">
        <v>200</v>
      </c>
      <c r="H7">
        <v>5</v>
      </c>
      <c r="I7" s="29">
        <v>0.4</v>
      </c>
      <c r="J7" s="50">
        <v>2</v>
      </c>
    </row>
    <row r="8" spans="1:12" x14ac:dyDescent="0.25">
      <c r="B8" t="s">
        <v>7</v>
      </c>
      <c r="C8">
        <f>C2*C7/(C5+C7)</f>
        <v>0</v>
      </c>
      <c r="E8">
        <v>250</v>
      </c>
      <c r="H8">
        <v>6</v>
      </c>
      <c r="I8" s="29">
        <v>2.2000000000000002</v>
      </c>
      <c r="J8" s="29">
        <v>5.5</v>
      </c>
    </row>
    <row r="9" spans="1:12" x14ac:dyDescent="0.25">
      <c r="B9" t="s">
        <v>8</v>
      </c>
      <c r="C9">
        <f>C3*C7/(C4+C7)</f>
        <v>0</v>
      </c>
      <c r="E9">
        <v>300</v>
      </c>
      <c r="H9">
        <v>7</v>
      </c>
      <c r="I9" s="29">
        <v>2.8</v>
      </c>
      <c r="J9" s="50">
        <v>7</v>
      </c>
    </row>
    <row r="11" spans="1:12" x14ac:dyDescent="0.25">
      <c r="B11" t="str">
        <f>IF(E12,CONCATENATE(B12,"-",B13,"-",IF(L12=0.75,"0,75",TEXT(L12,"0,0")),B15),B12)</f>
        <v>СГ-ЭК</v>
      </c>
      <c r="H11" s="29" t="s">
        <v>54</v>
      </c>
      <c r="I11" s="29" t="s">
        <v>52</v>
      </c>
      <c r="J11" s="29" t="s">
        <v>53</v>
      </c>
    </row>
    <row r="12" spans="1:12" x14ac:dyDescent="0.25">
      <c r="B12" t="s">
        <v>47</v>
      </c>
      <c r="E12" t="b">
        <f>AND(D23,D24,D25)</f>
        <v>0</v>
      </c>
      <c r="I12" s="29" t="str">
        <f>CONCATENATE("&lt;=",C4+0.1)</f>
        <v>&lt;=0,1</v>
      </c>
      <c r="J12" s="29" t="str">
        <f>CONCATENATE("&gt;=",C5+0.1)</f>
        <v>&gt;=0,1</v>
      </c>
      <c r="K12">
        <f>DMIN(H2:J9,1,H11:J12)</f>
        <v>1</v>
      </c>
      <c r="L12" s="51">
        <f>VLOOKUP(K12,H3:J9,3)</f>
        <v>0.2</v>
      </c>
    </row>
    <row r="13" spans="1:12" x14ac:dyDescent="0.25">
      <c r="A13" s="6"/>
      <c r="B13" s="11" t="e">
        <f>Лист3!D184</f>
        <v>#VALUE!</v>
      </c>
    </row>
    <row r="14" spans="1:12" x14ac:dyDescent="0.25">
      <c r="A14" s="6"/>
      <c r="B14" s="11">
        <f>L12</f>
        <v>0.2</v>
      </c>
      <c r="C14" s="11"/>
      <c r="H14" t="s">
        <v>46</v>
      </c>
      <c r="I14" s="45">
        <f>'СГ-ЭК'!F15</f>
        <v>0</v>
      </c>
    </row>
    <row r="15" spans="1:12" x14ac:dyDescent="0.25">
      <c r="A15" s="6"/>
      <c r="B15" t="e">
        <f>Лист3!E184</f>
        <v>#VALUE!</v>
      </c>
      <c r="H15" t="s">
        <v>177</v>
      </c>
    </row>
    <row r="16" spans="1:12" x14ac:dyDescent="0.25">
      <c r="A16" s="6"/>
      <c r="B16" t="e">
        <f>Лист3!C184</f>
        <v>#VALUE!</v>
      </c>
      <c r="H16" t="s">
        <v>178</v>
      </c>
    </row>
    <row r="17" spans="1:10" x14ac:dyDescent="0.25">
      <c r="A17" s="6"/>
      <c r="H17" t="s">
        <v>187</v>
      </c>
    </row>
    <row r="18" spans="1:10" x14ac:dyDescent="0.25">
      <c r="A18" s="6"/>
    </row>
    <row r="19" spans="1:10" x14ac:dyDescent="0.25">
      <c r="A19" s="6"/>
      <c r="B19" s="11"/>
    </row>
    <row r="20" spans="1:10" x14ac:dyDescent="0.25">
      <c r="A20" s="6"/>
      <c r="B20" s="11"/>
    </row>
    <row r="22" spans="1:10" x14ac:dyDescent="0.25">
      <c r="D22" t="str">
        <f>"Примечание:"&amp;CHAR(10)</f>
        <v xml:space="preserve">Примечание:
</v>
      </c>
    </row>
    <row r="23" spans="1:10" x14ac:dyDescent="0.25">
      <c r="C23" t="str">
        <f>IF(B23,"1. ","")</f>
        <v/>
      </c>
      <c r="D23" t="b">
        <f>AND(ISNUMBER(Лист3!N179),Лист3!N179&gt;0)</f>
        <v>0</v>
      </c>
      <c r="E23" t="s">
        <v>188</v>
      </c>
    </row>
    <row r="24" spans="1:10" x14ac:dyDescent="0.25">
      <c r="C24" t="str">
        <f>IF(B24,"1. ","")</f>
        <v/>
      </c>
      <c r="D24" t="b">
        <f>K12&lt;&gt;0</f>
        <v>1</v>
      </c>
      <c r="E24" t="s">
        <v>189</v>
      </c>
    </row>
    <row r="25" spans="1:10" x14ac:dyDescent="0.25">
      <c r="C25" t="str">
        <f>IF(B25,IF(OR(B23,B24),"2. ","1. "),"")</f>
        <v/>
      </c>
      <c r="D25" t="b">
        <f>AND(ISNUMBER('СГ-ЭК'!F5),ISNUMBER('СГ-ЭК'!F7),ISNUMBER('СГ-ЭК'!F9),ISNUMBER('СГ-ЭК'!F11))</f>
        <v>0</v>
      </c>
      <c r="E25" t="s">
        <v>190</v>
      </c>
    </row>
    <row r="26" spans="1:10" x14ac:dyDescent="0.25">
      <c r="E26" t="s">
        <v>191</v>
      </c>
    </row>
    <row r="27" spans="1:10" x14ac:dyDescent="0.25">
      <c r="H27" s="21"/>
      <c r="I27" s="21"/>
      <c r="J27" s="21"/>
    </row>
    <row r="28" spans="1:10" x14ac:dyDescent="0.25">
      <c r="D28" s="46" t="str">
        <f>IF(NOT(D25),CONCATENATE(D22,E25),IF(NOT(D24),CONCATENATE(D22,E24),IF(NOT(D23),CONCATENATE(D22,E23),CONCATENATE(D22,E26,B16," (",Лист3!G184,")."))))</f>
        <v>Примечание:
Заполните все обязательные поля</v>
      </c>
      <c r="E28" s="21"/>
      <c r="F28" s="21"/>
      <c r="G28" s="21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O184"/>
  <sheetViews>
    <sheetView topLeftCell="A151" workbookViewId="0">
      <selection activeCell="C180" sqref="C180"/>
    </sheetView>
  </sheetViews>
  <sheetFormatPr defaultRowHeight="15" x14ac:dyDescent="0.25"/>
  <cols>
    <col min="3" max="3" width="24.5703125" customWidth="1"/>
    <col min="4" max="4" width="4.85546875" customWidth="1"/>
    <col min="5" max="5" width="13.140625" customWidth="1"/>
    <col min="7" max="7" width="9.140625" style="1"/>
  </cols>
  <sheetData>
    <row r="2" spans="1:13" x14ac:dyDescent="0.25">
      <c r="B2" s="3" t="s">
        <v>24</v>
      </c>
      <c r="C2" s="40" t="s">
        <v>12</v>
      </c>
      <c r="D2" s="3" t="s">
        <v>13</v>
      </c>
      <c r="E2" s="4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49</v>
      </c>
      <c r="K2" s="3" t="s">
        <v>83</v>
      </c>
      <c r="L2" s="3" t="s">
        <v>85</v>
      </c>
      <c r="M2" s="3" t="s">
        <v>86</v>
      </c>
    </row>
    <row r="3" spans="1:13" x14ac:dyDescent="0.25">
      <c r="A3" t="s">
        <v>46</v>
      </c>
      <c r="B3" s="6">
        <v>1</v>
      </c>
      <c r="C3" s="32" t="s">
        <v>116</v>
      </c>
      <c r="D3" s="32" t="s">
        <v>84</v>
      </c>
      <c r="E3" t="s">
        <v>113</v>
      </c>
      <c r="F3">
        <v>50</v>
      </c>
      <c r="G3" s="1" t="s">
        <v>10</v>
      </c>
      <c r="H3">
        <v>25</v>
      </c>
      <c r="I3">
        <v>0.8</v>
      </c>
      <c r="J3">
        <v>1.6</v>
      </c>
      <c r="K3" s="22">
        <f>Лист2!$C$8-I3</f>
        <v>-0.8</v>
      </c>
      <c r="L3" s="22">
        <f>H3-Лист2!$C$9</f>
        <v>25</v>
      </c>
      <c r="M3" s="47" t="s">
        <v>192</v>
      </c>
    </row>
    <row r="4" spans="1:13" x14ac:dyDescent="0.25">
      <c r="B4" s="23">
        <v>2</v>
      </c>
      <c r="C4" s="38" t="s">
        <v>116</v>
      </c>
      <c r="D4" s="38" t="s">
        <v>84</v>
      </c>
      <c r="E4" s="24" t="s">
        <v>113</v>
      </c>
      <c r="F4" s="24">
        <v>50</v>
      </c>
      <c r="G4" s="25" t="s">
        <v>11</v>
      </c>
      <c r="H4" s="24">
        <v>25</v>
      </c>
      <c r="I4" s="24">
        <v>0.5</v>
      </c>
      <c r="J4" s="24">
        <v>1.6</v>
      </c>
      <c r="K4" s="26">
        <f>Лист2!$C$8-I4</f>
        <v>-0.5</v>
      </c>
      <c r="L4" s="26">
        <f>H4-Лист2!$C$9</f>
        <v>25</v>
      </c>
      <c r="M4" s="48" t="s">
        <v>192</v>
      </c>
    </row>
    <row r="5" spans="1:13" x14ac:dyDescent="0.25">
      <c r="B5" s="9">
        <v>3</v>
      </c>
      <c r="C5" s="39" t="s">
        <v>117</v>
      </c>
      <c r="D5" s="39" t="s">
        <v>84</v>
      </c>
      <c r="E5" t="s">
        <v>114</v>
      </c>
      <c r="F5">
        <v>50</v>
      </c>
      <c r="G5" s="1" t="s">
        <v>10</v>
      </c>
      <c r="H5">
        <v>40</v>
      </c>
      <c r="I5">
        <v>1.3</v>
      </c>
      <c r="J5">
        <v>1.6</v>
      </c>
      <c r="K5" s="22">
        <f>Лист2!$C$8-I5</f>
        <v>-1.3</v>
      </c>
      <c r="L5" s="22">
        <f>H5-Лист2!$C$9</f>
        <v>40</v>
      </c>
      <c r="M5" s="47" t="s">
        <v>22</v>
      </c>
    </row>
    <row r="6" spans="1:13" x14ac:dyDescent="0.25">
      <c r="B6" s="9">
        <v>4</v>
      </c>
      <c r="C6" s="39" t="s">
        <v>117</v>
      </c>
      <c r="D6" s="39" t="s">
        <v>84</v>
      </c>
      <c r="E6" t="s">
        <v>114</v>
      </c>
      <c r="F6">
        <v>50</v>
      </c>
      <c r="G6" s="1" t="s">
        <v>11</v>
      </c>
      <c r="H6">
        <v>40</v>
      </c>
      <c r="I6">
        <v>0.8</v>
      </c>
      <c r="J6">
        <v>1.6</v>
      </c>
      <c r="K6" s="22">
        <f>Лист2!$C$8-I6</f>
        <v>-0.8</v>
      </c>
      <c r="L6" s="22">
        <f>H6-Лист2!$C$9</f>
        <v>40</v>
      </c>
      <c r="M6" s="47" t="s">
        <v>192</v>
      </c>
    </row>
    <row r="7" spans="1:13" x14ac:dyDescent="0.25">
      <c r="B7" s="9">
        <v>5</v>
      </c>
      <c r="C7" s="39" t="s">
        <v>117</v>
      </c>
      <c r="D7" s="39" t="s">
        <v>84</v>
      </c>
      <c r="E7" t="s">
        <v>114</v>
      </c>
      <c r="F7">
        <v>50</v>
      </c>
      <c r="G7" s="1" t="s">
        <v>39</v>
      </c>
      <c r="H7">
        <v>40</v>
      </c>
      <c r="I7">
        <v>0.6</v>
      </c>
      <c r="J7">
        <v>1.6</v>
      </c>
      <c r="K7" s="22">
        <f>Лист2!$C$8-I7</f>
        <v>-0.6</v>
      </c>
      <c r="L7" s="22">
        <f>H7-Лист2!$C$9</f>
        <v>40</v>
      </c>
      <c r="M7" s="47" t="s">
        <v>192</v>
      </c>
    </row>
    <row r="8" spans="1:13" x14ac:dyDescent="0.25">
      <c r="B8" s="23">
        <v>6</v>
      </c>
      <c r="C8" s="38" t="s">
        <v>117</v>
      </c>
      <c r="D8" s="38" t="s">
        <v>84</v>
      </c>
      <c r="E8" s="24" t="s">
        <v>114</v>
      </c>
      <c r="F8" s="24">
        <v>50</v>
      </c>
      <c r="G8" s="25" t="s">
        <v>40</v>
      </c>
      <c r="H8" s="24">
        <v>40</v>
      </c>
      <c r="I8" s="24">
        <v>0.5</v>
      </c>
      <c r="J8" s="24">
        <v>1.6</v>
      </c>
      <c r="K8" s="26">
        <f>Лист2!$C$8-I8</f>
        <v>-0.5</v>
      </c>
      <c r="L8" s="26">
        <f>H8-Лист2!$C$9</f>
        <v>40</v>
      </c>
      <c r="M8" s="48" t="s">
        <v>192</v>
      </c>
    </row>
    <row r="9" spans="1:13" x14ac:dyDescent="0.25">
      <c r="B9" s="9">
        <v>7</v>
      </c>
      <c r="C9" s="39" t="s">
        <v>118</v>
      </c>
      <c r="D9" s="39" t="s">
        <v>84</v>
      </c>
      <c r="E9" t="s">
        <v>115</v>
      </c>
      <c r="F9">
        <v>50</v>
      </c>
      <c r="G9" s="1" t="s">
        <v>10</v>
      </c>
      <c r="H9" s="2">
        <v>65</v>
      </c>
      <c r="I9" s="2">
        <v>2</v>
      </c>
      <c r="J9" s="2">
        <v>1.6</v>
      </c>
      <c r="K9" s="22">
        <f>Лист2!$C$8-I9</f>
        <v>-2</v>
      </c>
      <c r="L9" s="22">
        <f>H9-Лист2!$C$9</f>
        <v>65</v>
      </c>
      <c r="M9" s="47" t="s">
        <v>22</v>
      </c>
    </row>
    <row r="10" spans="1:13" x14ac:dyDescent="0.25">
      <c r="B10" s="9">
        <v>8</v>
      </c>
      <c r="C10" s="39" t="s">
        <v>118</v>
      </c>
      <c r="D10" s="39" t="s">
        <v>84</v>
      </c>
      <c r="E10" t="s">
        <v>115</v>
      </c>
      <c r="F10">
        <v>50</v>
      </c>
      <c r="G10" s="1" t="s">
        <v>11</v>
      </c>
      <c r="H10" s="2">
        <v>65</v>
      </c>
      <c r="I10" s="2">
        <v>1.3</v>
      </c>
      <c r="J10" s="2">
        <v>1.6</v>
      </c>
      <c r="K10" s="22">
        <f>Лист2!$C$8-I10</f>
        <v>-1.3</v>
      </c>
      <c r="L10" s="22">
        <f>H10-Лист2!$C$9</f>
        <v>65</v>
      </c>
      <c r="M10" s="47" t="s">
        <v>22</v>
      </c>
    </row>
    <row r="11" spans="1:13" x14ac:dyDescent="0.25">
      <c r="B11" s="9">
        <v>9</v>
      </c>
      <c r="C11" s="39" t="s">
        <v>118</v>
      </c>
      <c r="D11" s="39" t="s">
        <v>84</v>
      </c>
      <c r="E11" t="s">
        <v>115</v>
      </c>
      <c r="F11">
        <v>50</v>
      </c>
      <c r="G11" s="1" t="s">
        <v>39</v>
      </c>
      <c r="H11" s="2">
        <v>65</v>
      </c>
      <c r="I11" s="2">
        <v>1</v>
      </c>
      <c r="J11" s="2">
        <v>1.6</v>
      </c>
      <c r="K11" s="22">
        <f>Лист2!$C$8-I11</f>
        <v>-1</v>
      </c>
      <c r="L11" s="22">
        <f>H11-Лист2!$C$9</f>
        <v>65</v>
      </c>
      <c r="M11" s="47" t="s">
        <v>22</v>
      </c>
    </row>
    <row r="12" spans="1:13" x14ac:dyDescent="0.25">
      <c r="B12" s="9">
        <v>10</v>
      </c>
      <c r="C12" s="39" t="s">
        <v>118</v>
      </c>
      <c r="D12" s="39" t="s">
        <v>84</v>
      </c>
      <c r="E12" t="s">
        <v>115</v>
      </c>
      <c r="F12">
        <v>50</v>
      </c>
      <c r="G12" s="1" t="s">
        <v>40</v>
      </c>
      <c r="H12" s="2">
        <v>65</v>
      </c>
      <c r="I12" s="2">
        <v>0.8</v>
      </c>
      <c r="J12" s="2">
        <v>1.6</v>
      </c>
      <c r="K12" s="22">
        <f>Лист2!$C$8-I12</f>
        <v>-0.8</v>
      </c>
      <c r="L12" s="22">
        <f>H12-Лист2!$C$9</f>
        <v>65</v>
      </c>
      <c r="M12" s="47" t="s">
        <v>192</v>
      </c>
    </row>
    <row r="13" spans="1:13" x14ac:dyDescent="0.25">
      <c r="B13" s="9">
        <v>11</v>
      </c>
      <c r="C13" s="39" t="s">
        <v>118</v>
      </c>
      <c r="D13" s="39" t="s">
        <v>84</v>
      </c>
      <c r="E13" t="s">
        <v>115</v>
      </c>
      <c r="F13">
        <v>50</v>
      </c>
      <c r="G13" s="1" t="s">
        <v>41</v>
      </c>
      <c r="H13" s="2">
        <v>65</v>
      </c>
      <c r="I13" s="2">
        <v>0.6</v>
      </c>
      <c r="J13" s="2">
        <v>1.6</v>
      </c>
      <c r="K13" s="22">
        <f>Лист2!$C$8-I13</f>
        <v>-0.6</v>
      </c>
      <c r="L13" s="22">
        <f>H13-Лист2!$C$9</f>
        <v>65</v>
      </c>
      <c r="M13" s="47" t="s">
        <v>192</v>
      </c>
    </row>
    <row r="14" spans="1:13" x14ac:dyDescent="0.25">
      <c r="B14" s="23">
        <v>12</v>
      </c>
      <c r="C14" s="38" t="s">
        <v>118</v>
      </c>
      <c r="D14" s="38" t="s">
        <v>84</v>
      </c>
      <c r="E14" s="24" t="s">
        <v>115</v>
      </c>
      <c r="F14" s="24">
        <v>50</v>
      </c>
      <c r="G14" s="25" t="s">
        <v>42</v>
      </c>
      <c r="H14" s="27">
        <v>65</v>
      </c>
      <c r="I14" s="27">
        <v>0.5</v>
      </c>
      <c r="J14" s="27">
        <v>1.6</v>
      </c>
      <c r="K14" s="26">
        <f>Лист2!$C$8-I14</f>
        <v>-0.5</v>
      </c>
      <c r="L14" s="26">
        <f>H14-Лист2!$C$9</f>
        <v>65</v>
      </c>
      <c r="M14" s="48" t="s">
        <v>192</v>
      </c>
    </row>
    <row r="15" spans="1:13" x14ac:dyDescent="0.25">
      <c r="B15" s="9">
        <v>13</v>
      </c>
      <c r="C15" s="39" t="s">
        <v>119</v>
      </c>
      <c r="D15" s="39" t="s">
        <v>84</v>
      </c>
      <c r="E15" s="2" t="s">
        <v>88</v>
      </c>
      <c r="F15" s="2">
        <v>50</v>
      </c>
      <c r="G15" s="1" t="s">
        <v>10</v>
      </c>
      <c r="H15" s="2">
        <v>100</v>
      </c>
      <c r="I15" s="2">
        <v>3</v>
      </c>
      <c r="J15" s="2">
        <v>1.6</v>
      </c>
      <c r="K15" s="22">
        <f>Лист2!$C$8-I15</f>
        <v>-3</v>
      </c>
      <c r="L15" s="22">
        <f>H15-Лист2!$C$9</f>
        <v>100</v>
      </c>
      <c r="M15" s="47" t="s">
        <v>22</v>
      </c>
    </row>
    <row r="16" spans="1:13" x14ac:dyDescent="0.25">
      <c r="B16" s="9">
        <v>14</v>
      </c>
      <c r="C16" s="39" t="s">
        <v>119</v>
      </c>
      <c r="D16" s="39" t="s">
        <v>84</v>
      </c>
      <c r="E16" s="2" t="s">
        <v>88</v>
      </c>
      <c r="F16" s="2">
        <v>50</v>
      </c>
      <c r="G16" s="1" t="s">
        <v>11</v>
      </c>
      <c r="H16" s="2">
        <v>100</v>
      </c>
      <c r="I16" s="2">
        <v>2</v>
      </c>
      <c r="J16" s="2">
        <v>1.6</v>
      </c>
      <c r="K16" s="22">
        <f>Лист2!$C$8-I16</f>
        <v>-2</v>
      </c>
      <c r="L16" s="22">
        <f>H16-Лист2!$C$9</f>
        <v>100</v>
      </c>
      <c r="M16" s="47" t="s">
        <v>22</v>
      </c>
    </row>
    <row r="17" spans="2:13" x14ac:dyDescent="0.25">
      <c r="B17" s="9">
        <v>15</v>
      </c>
      <c r="C17" s="39" t="s">
        <v>119</v>
      </c>
      <c r="D17" s="39" t="s">
        <v>84</v>
      </c>
      <c r="E17" s="2" t="s">
        <v>88</v>
      </c>
      <c r="F17" s="2">
        <v>50</v>
      </c>
      <c r="G17" s="1" t="s">
        <v>39</v>
      </c>
      <c r="H17" s="2">
        <v>100</v>
      </c>
      <c r="I17" s="2">
        <v>1.6</v>
      </c>
      <c r="J17" s="2">
        <v>1.6</v>
      </c>
      <c r="K17" s="22">
        <f>Лист2!$C$8-I17</f>
        <v>-1.6</v>
      </c>
      <c r="L17" s="22">
        <f>H17-Лист2!$C$9</f>
        <v>100</v>
      </c>
      <c r="M17" s="47" t="s">
        <v>22</v>
      </c>
    </row>
    <row r="18" spans="2:13" x14ac:dyDescent="0.25">
      <c r="B18" s="9">
        <v>16</v>
      </c>
      <c r="C18" s="39" t="s">
        <v>119</v>
      </c>
      <c r="D18" s="39" t="s">
        <v>84</v>
      </c>
      <c r="E18" s="2" t="s">
        <v>88</v>
      </c>
      <c r="F18" s="2">
        <v>50</v>
      </c>
      <c r="G18" s="1" t="s">
        <v>40</v>
      </c>
      <c r="H18" s="2">
        <v>100</v>
      </c>
      <c r="I18" s="2">
        <v>1.3</v>
      </c>
      <c r="J18" s="2">
        <v>1.6</v>
      </c>
      <c r="K18" s="22">
        <f>Лист2!$C$8-I18</f>
        <v>-1.3</v>
      </c>
      <c r="L18" s="22">
        <f>H18-Лист2!$C$9</f>
        <v>100</v>
      </c>
      <c r="M18" s="47" t="s">
        <v>22</v>
      </c>
    </row>
    <row r="19" spans="2:13" x14ac:dyDescent="0.25">
      <c r="B19" s="9">
        <v>17</v>
      </c>
      <c r="C19" s="39" t="s">
        <v>119</v>
      </c>
      <c r="D19" s="39" t="s">
        <v>84</v>
      </c>
      <c r="E19" s="2" t="s">
        <v>88</v>
      </c>
      <c r="F19" s="2">
        <v>50</v>
      </c>
      <c r="G19" s="1" t="s">
        <v>41</v>
      </c>
      <c r="H19" s="2">
        <v>100</v>
      </c>
      <c r="I19" s="2">
        <v>1</v>
      </c>
      <c r="J19" s="2">
        <v>1.6</v>
      </c>
      <c r="K19" s="22">
        <f>Лист2!$C$8-I19</f>
        <v>-1</v>
      </c>
      <c r="L19" s="22">
        <f>H19-Лист2!$C$9</f>
        <v>100</v>
      </c>
      <c r="M19" s="47" t="s">
        <v>22</v>
      </c>
    </row>
    <row r="20" spans="2:13" x14ac:dyDescent="0.25">
      <c r="B20" s="9">
        <v>18</v>
      </c>
      <c r="C20" s="39" t="s">
        <v>119</v>
      </c>
      <c r="D20" s="39" t="s">
        <v>84</v>
      </c>
      <c r="E20" s="2" t="s">
        <v>88</v>
      </c>
      <c r="F20" s="2">
        <v>50</v>
      </c>
      <c r="G20" s="1" t="s">
        <v>42</v>
      </c>
      <c r="H20" s="2">
        <v>100</v>
      </c>
      <c r="I20" s="2">
        <v>0.8</v>
      </c>
      <c r="J20" s="2">
        <v>1.6</v>
      </c>
      <c r="K20" s="22">
        <f>Лист2!$C$8-I20</f>
        <v>-0.8</v>
      </c>
      <c r="L20" s="22">
        <f>H20-Лист2!$C$9</f>
        <v>100</v>
      </c>
      <c r="M20" s="47" t="s">
        <v>192</v>
      </c>
    </row>
    <row r="21" spans="2:13" x14ac:dyDescent="0.25">
      <c r="B21" s="9">
        <v>19</v>
      </c>
      <c r="C21" s="39" t="s">
        <v>119</v>
      </c>
      <c r="D21" s="39" t="s">
        <v>84</v>
      </c>
      <c r="E21" s="2" t="s">
        <v>88</v>
      </c>
      <c r="F21" s="2">
        <v>50</v>
      </c>
      <c r="G21" s="1" t="s">
        <v>43</v>
      </c>
      <c r="H21" s="2">
        <v>100</v>
      </c>
      <c r="I21" s="2">
        <v>0.6</v>
      </c>
      <c r="J21" s="2">
        <v>1.6</v>
      </c>
      <c r="K21" s="22">
        <f>Лист2!$C$8-I21</f>
        <v>-0.6</v>
      </c>
      <c r="L21" s="22">
        <f>H21-Лист2!$C$9</f>
        <v>100</v>
      </c>
      <c r="M21" s="47" t="s">
        <v>192</v>
      </c>
    </row>
    <row r="22" spans="2:13" x14ac:dyDescent="0.25">
      <c r="B22" s="9">
        <v>20</v>
      </c>
      <c r="C22" s="39" t="s">
        <v>119</v>
      </c>
      <c r="D22" s="39" t="s">
        <v>84</v>
      </c>
      <c r="E22" s="2" t="s">
        <v>88</v>
      </c>
      <c r="F22" s="2">
        <v>50</v>
      </c>
      <c r="G22" s="1" t="s">
        <v>44</v>
      </c>
      <c r="H22" s="2">
        <v>100</v>
      </c>
      <c r="I22" s="2">
        <v>0.5</v>
      </c>
      <c r="J22" s="2">
        <v>1.6</v>
      </c>
      <c r="K22" s="22">
        <f>Лист2!$C$8-I22</f>
        <v>-0.5</v>
      </c>
      <c r="L22" s="22">
        <f>H22-Лист2!$C$9</f>
        <v>100</v>
      </c>
      <c r="M22" s="47" t="s">
        <v>192</v>
      </c>
    </row>
    <row r="23" spans="2:13" x14ac:dyDescent="0.25">
      <c r="B23" s="23">
        <v>21</v>
      </c>
      <c r="C23" s="38" t="s">
        <v>119</v>
      </c>
      <c r="D23" s="38" t="s">
        <v>84</v>
      </c>
      <c r="E23" s="27" t="s">
        <v>88</v>
      </c>
      <c r="F23" s="24">
        <v>50</v>
      </c>
      <c r="G23" s="25" t="s">
        <v>45</v>
      </c>
      <c r="H23" s="24">
        <v>100</v>
      </c>
      <c r="I23" s="24">
        <v>0.4</v>
      </c>
      <c r="J23" s="24">
        <v>1.6</v>
      </c>
      <c r="K23" s="26">
        <f>Лист2!$C$8-I23</f>
        <v>-0.4</v>
      </c>
      <c r="L23" s="26">
        <f>H23-Лист2!$C$9</f>
        <v>100</v>
      </c>
      <c r="M23" s="48" t="s">
        <v>192</v>
      </c>
    </row>
    <row r="24" spans="2:13" x14ac:dyDescent="0.25">
      <c r="B24" s="9">
        <v>22</v>
      </c>
      <c r="C24" s="39" t="s">
        <v>120</v>
      </c>
      <c r="D24" s="39" t="s">
        <v>84</v>
      </c>
      <c r="E24" s="2" t="s">
        <v>89</v>
      </c>
      <c r="F24" s="2">
        <v>80</v>
      </c>
      <c r="G24" s="1" t="s">
        <v>10</v>
      </c>
      <c r="H24" s="2">
        <v>160</v>
      </c>
      <c r="I24" s="2">
        <v>5</v>
      </c>
      <c r="J24" s="2">
        <v>1.6</v>
      </c>
      <c r="K24" s="22">
        <f>Лист2!$C$8-I24</f>
        <v>-5</v>
      </c>
      <c r="L24" s="22">
        <f>H24-Лист2!$C$9</f>
        <v>160</v>
      </c>
      <c r="M24" s="47" t="s">
        <v>22</v>
      </c>
    </row>
    <row r="25" spans="2:13" x14ac:dyDescent="0.25">
      <c r="B25" s="9">
        <v>23</v>
      </c>
      <c r="C25" s="39" t="s">
        <v>120</v>
      </c>
      <c r="D25" s="39" t="s">
        <v>84</v>
      </c>
      <c r="E25" s="2" t="s">
        <v>89</v>
      </c>
      <c r="F25" s="2">
        <v>80</v>
      </c>
      <c r="G25" s="1" t="s">
        <v>11</v>
      </c>
      <c r="H25" s="2">
        <v>160</v>
      </c>
      <c r="I25" s="2">
        <v>3</v>
      </c>
      <c r="J25" s="2">
        <v>1.6</v>
      </c>
      <c r="K25" s="22">
        <f>Лист2!$C$8-I25</f>
        <v>-3</v>
      </c>
      <c r="L25" s="22">
        <f>H25-Лист2!$C$9</f>
        <v>160</v>
      </c>
      <c r="M25" s="47" t="s">
        <v>22</v>
      </c>
    </row>
    <row r="26" spans="2:13" x14ac:dyDescent="0.25">
      <c r="B26" s="9">
        <v>24</v>
      </c>
      <c r="C26" s="39" t="s">
        <v>120</v>
      </c>
      <c r="D26" s="39" t="s">
        <v>84</v>
      </c>
      <c r="E26" s="2" t="s">
        <v>89</v>
      </c>
      <c r="F26" s="2">
        <v>80</v>
      </c>
      <c r="G26" s="1" t="s">
        <v>39</v>
      </c>
      <c r="H26" s="2">
        <v>160</v>
      </c>
      <c r="I26" s="2">
        <v>2.5</v>
      </c>
      <c r="J26" s="2">
        <v>1.6</v>
      </c>
      <c r="K26" s="22">
        <f>Лист2!$C$8-I26</f>
        <v>-2.5</v>
      </c>
      <c r="L26" s="22">
        <f>H26-Лист2!$C$9</f>
        <v>160</v>
      </c>
      <c r="M26" s="47" t="s">
        <v>22</v>
      </c>
    </row>
    <row r="27" spans="2:13" x14ac:dyDescent="0.25">
      <c r="B27" s="9">
        <v>25</v>
      </c>
      <c r="C27" s="39" t="s">
        <v>120</v>
      </c>
      <c r="D27" s="39" t="s">
        <v>84</v>
      </c>
      <c r="E27" s="2" t="s">
        <v>89</v>
      </c>
      <c r="F27" s="2">
        <v>80</v>
      </c>
      <c r="G27" s="1" t="s">
        <v>40</v>
      </c>
      <c r="H27" s="2">
        <v>160</v>
      </c>
      <c r="I27" s="2">
        <v>2</v>
      </c>
      <c r="J27" s="2">
        <v>1.6</v>
      </c>
      <c r="K27" s="22">
        <f>Лист2!$C$8-I27</f>
        <v>-2</v>
      </c>
      <c r="L27" s="22">
        <f>H27-Лист2!$C$9</f>
        <v>160</v>
      </c>
      <c r="M27" s="47" t="s">
        <v>22</v>
      </c>
    </row>
    <row r="28" spans="2:13" x14ac:dyDescent="0.25">
      <c r="B28" s="9">
        <v>26</v>
      </c>
      <c r="C28" s="39" t="s">
        <v>120</v>
      </c>
      <c r="D28" s="39" t="s">
        <v>84</v>
      </c>
      <c r="E28" s="2" t="s">
        <v>89</v>
      </c>
      <c r="F28" s="2">
        <v>80</v>
      </c>
      <c r="G28" s="1" t="s">
        <v>41</v>
      </c>
      <c r="H28" s="2">
        <v>160</v>
      </c>
      <c r="I28" s="2">
        <v>1.6</v>
      </c>
      <c r="J28" s="2">
        <v>1.6</v>
      </c>
      <c r="K28" s="22">
        <f>Лист2!$C$8-I28</f>
        <v>-1.6</v>
      </c>
      <c r="L28" s="22">
        <f>H28-Лист2!$C$9</f>
        <v>160</v>
      </c>
      <c r="M28" s="47" t="s">
        <v>22</v>
      </c>
    </row>
    <row r="29" spans="2:13" x14ac:dyDescent="0.25">
      <c r="B29" s="9">
        <v>27</v>
      </c>
      <c r="C29" s="39" t="s">
        <v>120</v>
      </c>
      <c r="D29" s="39" t="s">
        <v>84</v>
      </c>
      <c r="E29" s="2" t="s">
        <v>89</v>
      </c>
      <c r="F29" s="2">
        <v>80</v>
      </c>
      <c r="G29" s="1" t="s">
        <v>42</v>
      </c>
      <c r="H29" s="2">
        <v>160</v>
      </c>
      <c r="I29" s="2">
        <v>1.3</v>
      </c>
      <c r="J29" s="2">
        <v>1.6</v>
      </c>
      <c r="K29" s="22">
        <f>Лист2!$C$8-I29</f>
        <v>-1.3</v>
      </c>
      <c r="L29" s="22">
        <f>H29-Лист2!$C$9</f>
        <v>160</v>
      </c>
      <c r="M29" s="47" t="s">
        <v>22</v>
      </c>
    </row>
    <row r="30" spans="2:13" x14ac:dyDescent="0.25">
      <c r="B30" s="9">
        <v>28</v>
      </c>
      <c r="C30" s="39" t="s">
        <v>120</v>
      </c>
      <c r="D30" s="39" t="s">
        <v>84</v>
      </c>
      <c r="E30" s="2" t="s">
        <v>89</v>
      </c>
      <c r="F30" s="2">
        <v>80</v>
      </c>
      <c r="G30" s="1" t="s">
        <v>43</v>
      </c>
      <c r="H30" s="2">
        <v>160</v>
      </c>
      <c r="I30" s="2">
        <v>1</v>
      </c>
      <c r="J30" s="2">
        <v>1.6</v>
      </c>
      <c r="K30" s="22">
        <f>Лист2!$C$8-I30</f>
        <v>-1</v>
      </c>
      <c r="L30" s="22">
        <f>H30-Лист2!$C$9</f>
        <v>160</v>
      </c>
      <c r="M30" s="47" t="s">
        <v>22</v>
      </c>
    </row>
    <row r="31" spans="2:13" x14ac:dyDescent="0.25">
      <c r="B31" s="9">
        <v>29</v>
      </c>
      <c r="C31" s="39" t="s">
        <v>120</v>
      </c>
      <c r="D31" s="39" t="s">
        <v>84</v>
      </c>
      <c r="E31" s="2" t="s">
        <v>89</v>
      </c>
      <c r="F31" s="2">
        <v>80</v>
      </c>
      <c r="G31" s="1" t="s">
        <v>44</v>
      </c>
      <c r="H31" s="2">
        <v>160</v>
      </c>
      <c r="I31" s="2">
        <v>0.8</v>
      </c>
      <c r="J31" s="2">
        <v>1.6</v>
      </c>
      <c r="K31" s="22">
        <f>Лист2!$C$8-I31</f>
        <v>-0.8</v>
      </c>
      <c r="L31" s="22">
        <f>H31-Лист2!$C$9</f>
        <v>160</v>
      </c>
      <c r="M31" s="47" t="s">
        <v>192</v>
      </c>
    </row>
    <row r="32" spans="2:13" x14ac:dyDescent="0.25">
      <c r="B32" s="23">
        <v>30</v>
      </c>
      <c r="C32" s="38" t="s">
        <v>120</v>
      </c>
      <c r="D32" s="38" t="s">
        <v>84</v>
      </c>
      <c r="E32" s="27" t="s">
        <v>89</v>
      </c>
      <c r="F32" s="27">
        <v>80</v>
      </c>
      <c r="G32" s="25" t="s">
        <v>45</v>
      </c>
      <c r="H32" s="27">
        <v>160</v>
      </c>
      <c r="I32" s="24">
        <v>0.6</v>
      </c>
      <c r="J32" s="24">
        <v>1.6</v>
      </c>
      <c r="K32" s="26">
        <f>Лист2!$C$8-I32</f>
        <v>-0.6</v>
      </c>
      <c r="L32" s="26">
        <f>H32-Лист2!$C$9</f>
        <v>160</v>
      </c>
      <c r="M32" s="48" t="s">
        <v>192</v>
      </c>
    </row>
    <row r="33" spans="2:13" x14ac:dyDescent="0.25">
      <c r="B33" s="9">
        <v>31</v>
      </c>
      <c r="C33" s="39" t="s">
        <v>121</v>
      </c>
      <c r="D33" s="39" t="s">
        <v>84</v>
      </c>
      <c r="E33" s="2" t="s">
        <v>90</v>
      </c>
      <c r="F33" s="2">
        <v>80</v>
      </c>
      <c r="G33" s="1" t="s">
        <v>10</v>
      </c>
      <c r="H33" s="2">
        <v>250</v>
      </c>
      <c r="I33" s="2">
        <v>8</v>
      </c>
      <c r="J33" s="2">
        <v>1.6</v>
      </c>
      <c r="K33" s="22">
        <f>Лист2!$C$8-I33</f>
        <v>-8</v>
      </c>
      <c r="L33" s="22">
        <f>H33-Лист2!$C$9</f>
        <v>250</v>
      </c>
      <c r="M33" s="47" t="s">
        <v>22</v>
      </c>
    </row>
    <row r="34" spans="2:13" x14ac:dyDescent="0.25">
      <c r="B34" s="9">
        <v>32</v>
      </c>
      <c r="C34" s="39" t="s">
        <v>121</v>
      </c>
      <c r="D34" s="39" t="s">
        <v>84</v>
      </c>
      <c r="E34" s="2" t="s">
        <v>90</v>
      </c>
      <c r="F34" s="2">
        <v>80</v>
      </c>
      <c r="G34" s="1" t="s">
        <v>11</v>
      </c>
      <c r="H34" s="2">
        <v>250</v>
      </c>
      <c r="I34" s="2">
        <v>5</v>
      </c>
      <c r="J34" s="2">
        <v>1.6</v>
      </c>
      <c r="K34" s="22">
        <f>Лист2!$C$8-I34</f>
        <v>-5</v>
      </c>
      <c r="L34" s="22">
        <f>H34-Лист2!$C$9</f>
        <v>250</v>
      </c>
      <c r="M34" s="47" t="s">
        <v>22</v>
      </c>
    </row>
    <row r="35" spans="2:13" x14ac:dyDescent="0.25">
      <c r="B35" s="9">
        <v>33</v>
      </c>
      <c r="C35" s="39" t="s">
        <v>121</v>
      </c>
      <c r="D35" s="39" t="s">
        <v>84</v>
      </c>
      <c r="E35" s="2" t="s">
        <v>90</v>
      </c>
      <c r="F35" s="2">
        <v>80</v>
      </c>
      <c r="G35" s="1" t="s">
        <v>39</v>
      </c>
      <c r="H35" s="2">
        <v>250</v>
      </c>
      <c r="I35" s="2">
        <v>4</v>
      </c>
      <c r="J35" s="2">
        <v>1.6</v>
      </c>
      <c r="K35" s="22">
        <f>Лист2!$C$8-I35</f>
        <v>-4</v>
      </c>
      <c r="L35" s="22">
        <f>H35-Лист2!$C$9</f>
        <v>250</v>
      </c>
      <c r="M35" s="47" t="s">
        <v>22</v>
      </c>
    </row>
    <row r="36" spans="2:13" x14ac:dyDescent="0.25">
      <c r="B36" s="9">
        <v>34</v>
      </c>
      <c r="C36" s="39" t="s">
        <v>121</v>
      </c>
      <c r="D36" s="39" t="s">
        <v>84</v>
      </c>
      <c r="E36" s="2" t="s">
        <v>90</v>
      </c>
      <c r="F36" s="2">
        <v>80</v>
      </c>
      <c r="G36" s="1" t="s">
        <v>40</v>
      </c>
      <c r="H36" s="2">
        <v>250</v>
      </c>
      <c r="I36" s="2">
        <v>3</v>
      </c>
      <c r="J36" s="2">
        <v>1.6</v>
      </c>
      <c r="K36" s="22">
        <f>Лист2!$C$8-I36</f>
        <v>-3</v>
      </c>
      <c r="L36" s="22">
        <f>H36-Лист2!$C$9</f>
        <v>250</v>
      </c>
      <c r="M36" s="47" t="s">
        <v>22</v>
      </c>
    </row>
    <row r="37" spans="2:13" x14ac:dyDescent="0.25">
      <c r="B37" s="9">
        <v>35</v>
      </c>
      <c r="C37" s="39" t="s">
        <v>121</v>
      </c>
      <c r="D37" s="39" t="s">
        <v>84</v>
      </c>
      <c r="E37" s="2" t="s">
        <v>90</v>
      </c>
      <c r="F37" s="2">
        <v>80</v>
      </c>
      <c r="G37" s="1" t="s">
        <v>41</v>
      </c>
      <c r="H37" s="2">
        <v>250</v>
      </c>
      <c r="I37" s="2">
        <v>2.5</v>
      </c>
      <c r="J37" s="2">
        <v>1.6</v>
      </c>
      <c r="K37" s="22">
        <f>Лист2!$C$8-I37</f>
        <v>-2.5</v>
      </c>
      <c r="L37" s="22">
        <f>H37-Лист2!$C$9</f>
        <v>250</v>
      </c>
      <c r="M37" s="47" t="s">
        <v>22</v>
      </c>
    </row>
    <row r="38" spans="2:13" x14ac:dyDescent="0.25">
      <c r="B38" s="9">
        <v>36</v>
      </c>
      <c r="C38" s="39" t="s">
        <v>121</v>
      </c>
      <c r="D38" s="39" t="s">
        <v>84</v>
      </c>
      <c r="E38" s="2" t="s">
        <v>90</v>
      </c>
      <c r="F38" s="2">
        <v>80</v>
      </c>
      <c r="G38" s="1" t="s">
        <v>42</v>
      </c>
      <c r="H38" s="2">
        <v>250</v>
      </c>
      <c r="I38" s="2">
        <v>2</v>
      </c>
      <c r="J38" s="2">
        <v>1.6</v>
      </c>
      <c r="K38" s="22">
        <f>Лист2!$C$8-I38</f>
        <v>-2</v>
      </c>
      <c r="L38" s="22">
        <f>H38-Лист2!$C$9</f>
        <v>250</v>
      </c>
      <c r="M38" s="47" t="s">
        <v>22</v>
      </c>
    </row>
    <row r="39" spans="2:13" x14ac:dyDescent="0.25">
      <c r="B39" s="9">
        <v>37</v>
      </c>
      <c r="C39" s="39" t="s">
        <v>121</v>
      </c>
      <c r="D39" s="39" t="s">
        <v>84</v>
      </c>
      <c r="E39" s="2" t="s">
        <v>90</v>
      </c>
      <c r="F39" s="2">
        <v>80</v>
      </c>
      <c r="G39" s="1" t="s">
        <v>43</v>
      </c>
      <c r="H39" s="2">
        <v>250</v>
      </c>
      <c r="I39" s="2">
        <v>1.6</v>
      </c>
      <c r="J39" s="2">
        <v>1.6</v>
      </c>
      <c r="K39" s="22">
        <f>Лист2!$C$8-I39</f>
        <v>-1.6</v>
      </c>
      <c r="L39" s="22">
        <f>H39-Лист2!$C$9</f>
        <v>250</v>
      </c>
      <c r="M39" s="47" t="s">
        <v>22</v>
      </c>
    </row>
    <row r="40" spans="2:13" x14ac:dyDescent="0.25">
      <c r="B40" s="9">
        <v>38</v>
      </c>
      <c r="C40" s="39" t="s">
        <v>121</v>
      </c>
      <c r="D40" s="39" t="s">
        <v>84</v>
      </c>
      <c r="E40" s="2" t="s">
        <v>90</v>
      </c>
      <c r="F40" s="2">
        <v>80</v>
      </c>
      <c r="G40" s="1" t="s">
        <v>44</v>
      </c>
      <c r="H40" s="2">
        <v>250</v>
      </c>
      <c r="I40" s="2">
        <v>1.3</v>
      </c>
      <c r="J40" s="2">
        <v>1.6</v>
      </c>
      <c r="K40" s="22">
        <f>Лист2!$C$8-I40</f>
        <v>-1.3</v>
      </c>
      <c r="L40" s="22">
        <f>H40-Лист2!$C$9</f>
        <v>250</v>
      </c>
      <c r="M40" s="47" t="s">
        <v>192</v>
      </c>
    </row>
    <row r="41" spans="2:13" x14ac:dyDescent="0.25">
      <c r="B41" s="23">
        <v>39</v>
      </c>
      <c r="C41" s="38" t="s">
        <v>121</v>
      </c>
      <c r="D41" s="38" t="s">
        <v>84</v>
      </c>
      <c r="E41" s="27" t="s">
        <v>90</v>
      </c>
      <c r="F41" s="27">
        <v>80</v>
      </c>
      <c r="G41" s="25" t="s">
        <v>45</v>
      </c>
      <c r="H41" s="27">
        <v>250</v>
      </c>
      <c r="I41" s="27">
        <v>1</v>
      </c>
      <c r="J41" s="27">
        <v>1.6</v>
      </c>
      <c r="K41" s="26">
        <f>Лист2!$C$8-I41</f>
        <v>-1</v>
      </c>
      <c r="L41" s="26">
        <f>H41-Лист2!$C$9</f>
        <v>250</v>
      </c>
      <c r="M41" s="48" t="s">
        <v>192</v>
      </c>
    </row>
    <row r="42" spans="2:13" x14ac:dyDescent="0.25">
      <c r="B42" s="9">
        <v>40</v>
      </c>
      <c r="C42" s="39" t="s">
        <v>122</v>
      </c>
      <c r="D42" s="39" t="s">
        <v>84</v>
      </c>
      <c r="E42" s="2" t="s">
        <v>91</v>
      </c>
      <c r="F42" s="2">
        <v>100</v>
      </c>
      <c r="G42" s="1" t="s">
        <v>10</v>
      </c>
      <c r="H42" s="2">
        <v>400</v>
      </c>
      <c r="I42" s="2">
        <v>13</v>
      </c>
      <c r="J42" s="2">
        <v>1.6</v>
      </c>
      <c r="K42" s="22">
        <f>Лист2!$C$8-I42</f>
        <v>-13</v>
      </c>
      <c r="L42" s="22">
        <f>H42-Лист2!$C$9</f>
        <v>400</v>
      </c>
      <c r="M42" s="47" t="s">
        <v>22</v>
      </c>
    </row>
    <row r="43" spans="2:13" x14ac:dyDescent="0.25">
      <c r="B43" s="9">
        <v>41</v>
      </c>
      <c r="C43" s="39" t="s">
        <v>122</v>
      </c>
      <c r="D43" s="39" t="s">
        <v>84</v>
      </c>
      <c r="E43" s="2" t="s">
        <v>91</v>
      </c>
      <c r="F43" s="2">
        <v>100</v>
      </c>
      <c r="G43" s="1" t="s">
        <v>11</v>
      </c>
      <c r="H43" s="2">
        <v>400</v>
      </c>
      <c r="I43" s="2">
        <v>8</v>
      </c>
      <c r="J43" s="2">
        <v>1.6</v>
      </c>
      <c r="K43" s="22">
        <f>Лист2!$C$8-I43</f>
        <v>-8</v>
      </c>
      <c r="L43" s="22">
        <f>H43-Лист2!$C$9</f>
        <v>400</v>
      </c>
      <c r="M43" s="47" t="s">
        <v>22</v>
      </c>
    </row>
    <row r="44" spans="2:13" x14ac:dyDescent="0.25">
      <c r="B44" s="9">
        <v>42</v>
      </c>
      <c r="C44" s="39" t="s">
        <v>122</v>
      </c>
      <c r="D44" s="39" t="s">
        <v>84</v>
      </c>
      <c r="E44" s="2" t="s">
        <v>91</v>
      </c>
      <c r="F44" s="2">
        <v>100</v>
      </c>
      <c r="G44" s="1" t="s">
        <v>39</v>
      </c>
      <c r="H44" s="2">
        <v>400</v>
      </c>
      <c r="I44" s="2">
        <v>6</v>
      </c>
      <c r="J44" s="2">
        <v>1.6</v>
      </c>
      <c r="K44" s="22">
        <f>Лист2!$C$8-I44</f>
        <v>-6</v>
      </c>
      <c r="L44" s="22">
        <f>H44-Лист2!$C$9</f>
        <v>400</v>
      </c>
      <c r="M44" s="47" t="s">
        <v>22</v>
      </c>
    </row>
    <row r="45" spans="2:13" x14ac:dyDescent="0.25">
      <c r="B45" s="9">
        <v>43</v>
      </c>
      <c r="C45" s="39" t="s">
        <v>122</v>
      </c>
      <c r="D45" s="39" t="s">
        <v>84</v>
      </c>
      <c r="E45" s="2" t="s">
        <v>91</v>
      </c>
      <c r="F45" s="2">
        <v>100</v>
      </c>
      <c r="G45" s="1" t="s">
        <v>40</v>
      </c>
      <c r="H45" s="2">
        <v>400</v>
      </c>
      <c r="I45" s="2">
        <v>5</v>
      </c>
      <c r="J45" s="2">
        <v>1.6</v>
      </c>
      <c r="K45" s="22">
        <f>Лист2!$C$8-I45</f>
        <v>-5</v>
      </c>
      <c r="L45" s="22">
        <f>H45-Лист2!$C$9</f>
        <v>400</v>
      </c>
      <c r="M45" s="47" t="s">
        <v>22</v>
      </c>
    </row>
    <row r="46" spans="2:13" x14ac:dyDescent="0.25">
      <c r="B46" s="9">
        <v>44</v>
      </c>
      <c r="C46" s="39" t="s">
        <v>122</v>
      </c>
      <c r="D46" s="39" t="s">
        <v>84</v>
      </c>
      <c r="E46" s="2" t="s">
        <v>91</v>
      </c>
      <c r="F46" s="2">
        <v>100</v>
      </c>
      <c r="G46" s="1" t="s">
        <v>41</v>
      </c>
      <c r="H46" s="2">
        <v>400</v>
      </c>
      <c r="I46" s="2">
        <v>4</v>
      </c>
      <c r="J46" s="2">
        <v>1.6</v>
      </c>
      <c r="K46" s="22">
        <f>Лист2!$C$8-I46</f>
        <v>-4</v>
      </c>
      <c r="L46" s="22">
        <f>H46-Лист2!$C$9</f>
        <v>400</v>
      </c>
      <c r="M46" s="47" t="s">
        <v>22</v>
      </c>
    </row>
    <row r="47" spans="2:13" x14ac:dyDescent="0.25">
      <c r="B47" s="9">
        <v>45</v>
      </c>
      <c r="C47" s="39" t="s">
        <v>122</v>
      </c>
      <c r="D47" s="39" t="s">
        <v>84</v>
      </c>
      <c r="E47" s="2" t="s">
        <v>91</v>
      </c>
      <c r="F47" s="2">
        <v>100</v>
      </c>
      <c r="G47" s="1" t="s">
        <v>42</v>
      </c>
      <c r="H47" s="2">
        <v>400</v>
      </c>
      <c r="I47" s="2">
        <v>3</v>
      </c>
      <c r="J47" s="2">
        <v>1.6</v>
      </c>
      <c r="K47" s="22">
        <f>Лист2!$C$8-I47</f>
        <v>-3</v>
      </c>
      <c r="L47" s="22">
        <f>H47-Лист2!$C$9</f>
        <v>400</v>
      </c>
      <c r="M47" s="47" t="s">
        <v>22</v>
      </c>
    </row>
    <row r="48" spans="2:13" x14ac:dyDescent="0.25">
      <c r="B48" s="9">
        <v>46</v>
      </c>
      <c r="C48" s="39" t="s">
        <v>122</v>
      </c>
      <c r="D48" s="39" t="s">
        <v>84</v>
      </c>
      <c r="E48" s="2" t="s">
        <v>91</v>
      </c>
      <c r="F48" s="2">
        <v>100</v>
      </c>
      <c r="G48" s="1" t="s">
        <v>43</v>
      </c>
      <c r="H48" s="2">
        <v>400</v>
      </c>
      <c r="I48" s="2">
        <v>2.5</v>
      </c>
      <c r="J48" s="2">
        <v>1.6</v>
      </c>
      <c r="K48" s="22">
        <f>Лист2!$C$8-I48</f>
        <v>-2.5</v>
      </c>
      <c r="L48" s="22">
        <f>H48-Лист2!$C$9</f>
        <v>400</v>
      </c>
      <c r="M48" s="47" t="s">
        <v>22</v>
      </c>
    </row>
    <row r="49" spans="2:13" x14ac:dyDescent="0.25">
      <c r="B49" s="9">
        <v>47</v>
      </c>
      <c r="C49" s="39" t="s">
        <v>122</v>
      </c>
      <c r="D49" s="39" t="s">
        <v>84</v>
      </c>
      <c r="E49" s="2" t="s">
        <v>91</v>
      </c>
      <c r="F49" s="2">
        <v>100</v>
      </c>
      <c r="G49" s="1" t="s">
        <v>44</v>
      </c>
      <c r="H49" s="2">
        <v>400</v>
      </c>
      <c r="I49" s="2">
        <v>2</v>
      </c>
      <c r="J49" s="2">
        <v>1.6</v>
      </c>
      <c r="K49" s="22">
        <f>Лист2!$C$8-I49</f>
        <v>-2</v>
      </c>
      <c r="L49" s="22">
        <f>H49-Лист2!$C$9</f>
        <v>400</v>
      </c>
      <c r="M49" s="47" t="s">
        <v>192</v>
      </c>
    </row>
    <row r="50" spans="2:13" x14ac:dyDescent="0.25">
      <c r="B50" s="23">
        <v>48</v>
      </c>
      <c r="C50" s="38" t="s">
        <v>122</v>
      </c>
      <c r="D50" s="38" t="s">
        <v>84</v>
      </c>
      <c r="E50" s="27" t="s">
        <v>91</v>
      </c>
      <c r="F50" s="27">
        <v>100</v>
      </c>
      <c r="G50" s="25" t="s">
        <v>45</v>
      </c>
      <c r="H50" s="27">
        <v>400</v>
      </c>
      <c r="I50" s="27">
        <v>1.6</v>
      </c>
      <c r="J50" s="27">
        <v>1.6</v>
      </c>
      <c r="K50" s="26">
        <f>Лист2!$C$8-I50</f>
        <v>-1.6</v>
      </c>
      <c r="L50" s="26">
        <f>H50-Лист2!$C$9</f>
        <v>400</v>
      </c>
      <c r="M50" s="48" t="s">
        <v>192</v>
      </c>
    </row>
    <row r="51" spans="2:13" x14ac:dyDescent="0.25">
      <c r="B51" s="9">
        <v>49</v>
      </c>
      <c r="C51" s="39" t="s">
        <v>123</v>
      </c>
      <c r="D51" s="39" t="s">
        <v>84</v>
      </c>
      <c r="E51" s="2" t="s">
        <v>92</v>
      </c>
      <c r="F51" s="2">
        <v>100</v>
      </c>
      <c r="G51" s="1" t="s">
        <v>10</v>
      </c>
      <c r="H51" s="2">
        <v>650</v>
      </c>
      <c r="I51" s="2">
        <v>20</v>
      </c>
      <c r="J51" s="2">
        <v>1.6</v>
      </c>
      <c r="K51" s="22">
        <f>Лист2!$C$8-I51</f>
        <v>-20</v>
      </c>
      <c r="L51" s="22">
        <f>H51-Лист2!$C$9</f>
        <v>650</v>
      </c>
      <c r="M51" s="47" t="s">
        <v>22</v>
      </c>
    </row>
    <row r="52" spans="2:13" x14ac:dyDescent="0.25">
      <c r="B52" s="9">
        <v>50</v>
      </c>
      <c r="C52" s="39" t="s">
        <v>123</v>
      </c>
      <c r="D52" s="39" t="s">
        <v>84</v>
      </c>
      <c r="E52" s="2" t="s">
        <v>92</v>
      </c>
      <c r="F52" s="2">
        <v>100</v>
      </c>
      <c r="G52" s="1" t="s">
        <v>11</v>
      </c>
      <c r="H52" s="2">
        <v>650</v>
      </c>
      <c r="I52" s="2">
        <v>13</v>
      </c>
      <c r="J52" s="2">
        <v>1.6</v>
      </c>
      <c r="K52" s="22">
        <f>Лист2!$C$8-I52</f>
        <v>-13</v>
      </c>
      <c r="L52" s="22">
        <f>H52-Лист2!$C$9</f>
        <v>650</v>
      </c>
      <c r="M52" s="47" t="s">
        <v>22</v>
      </c>
    </row>
    <row r="53" spans="2:13" x14ac:dyDescent="0.25">
      <c r="B53" s="9">
        <v>51</v>
      </c>
      <c r="C53" s="39" t="s">
        <v>123</v>
      </c>
      <c r="D53" s="39" t="s">
        <v>84</v>
      </c>
      <c r="E53" s="2" t="s">
        <v>92</v>
      </c>
      <c r="F53" s="2">
        <v>100</v>
      </c>
      <c r="G53" s="1" t="s">
        <v>39</v>
      </c>
      <c r="H53" s="2">
        <v>650</v>
      </c>
      <c r="I53" s="2">
        <v>10</v>
      </c>
      <c r="J53" s="2">
        <v>1.6</v>
      </c>
      <c r="K53" s="22">
        <f>Лист2!$C$8-I53</f>
        <v>-10</v>
      </c>
      <c r="L53" s="22">
        <f>H53-Лист2!$C$9</f>
        <v>650</v>
      </c>
      <c r="M53" s="47" t="s">
        <v>22</v>
      </c>
    </row>
    <row r="54" spans="2:13" x14ac:dyDescent="0.25">
      <c r="B54" s="9">
        <v>52</v>
      </c>
      <c r="C54" s="39" t="s">
        <v>123</v>
      </c>
      <c r="D54" s="39" t="s">
        <v>84</v>
      </c>
      <c r="E54" s="2" t="s">
        <v>92</v>
      </c>
      <c r="F54" s="2">
        <v>100</v>
      </c>
      <c r="G54" s="1" t="s">
        <v>40</v>
      </c>
      <c r="H54" s="2">
        <v>650</v>
      </c>
      <c r="I54" s="2">
        <v>8</v>
      </c>
      <c r="J54" s="2">
        <v>1.6</v>
      </c>
      <c r="K54" s="22">
        <f>Лист2!$C$8-I54</f>
        <v>-8</v>
      </c>
      <c r="L54" s="22">
        <f>H54-Лист2!$C$9</f>
        <v>650</v>
      </c>
      <c r="M54" s="47" t="s">
        <v>22</v>
      </c>
    </row>
    <row r="55" spans="2:13" x14ac:dyDescent="0.25">
      <c r="B55" s="9">
        <v>53</v>
      </c>
      <c r="C55" s="39" t="s">
        <v>123</v>
      </c>
      <c r="D55" s="39" t="s">
        <v>84</v>
      </c>
      <c r="E55" s="2" t="s">
        <v>92</v>
      </c>
      <c r="F55" s="2">
        <v>100</v>
      </c>
      <c r="G55" s="1" t="s">
        <v>41</v>
      </c>
      <c r="H55" s="2">
        <v>650</v>
      </c>
      <c r="I55" s="2">
        <v>6.5</v>
      </c>
      <c r="J55" s="2">
        <v>1.6</v>
      </c>
      <c r="K55" s="22">
        <f>Лист2!$C$8-I55</f>
        <v>-6.5</v>
      </c>
      <c r="L55" s="22">
        <f>H55-Лист2!$C$9</f>
        <v>650</v>
      </c>
      <c r="M55" s="47" t="s">
        <v>22</v>
      </c>
    </row>
    <row r="56" spans="2:13" x14ac:dyDescent="0.25">
      <c r="B56" s="9">
        <v>54</v>
      </c>
      <c r="C56" s="39" t="s">
        <v>123</v>
      </c>
      <c r="D56" s="39" t="s">
        <v>84</v>
      </c>
      <c r="E56" s="2" t="s">
        <v>92</v>
      </c>
      <c r="F56" s="2">
        <v>100</v>
      </c>
      <c r="G56" s="1" t="s">
        <v>42</v>
      </c>
      <c r="H56" s="2">
        <v>650</v>
      </c>
      <c r="I56" s="2">
        <v>5</v>
      </c>
      <c r="J56" s="2">
        <v>1.6</v>
      </c>
      <c r="K56" s="22">
        <f>Лист2!$C$8-I56</f>
        <v>-5</v>
      </c>
      <c r="L56" s="22">
        <f>H56-Лист2!$C$9</f>
        <v>650</v>
      </c>
      <c r="M56" s="47" t="s">
        <v>22</v>
      </c>
    </row>
    <row r="57" spans="2:13" x14ac:dyDescent="0.25">
      <c r="B57" s="9">
        <v>55</v>
      </c>
      <c r="C57" s="39" t="s">
        <v>123</v>
      </c>
      <c r="D57" s="39" t="s">
        <v>84</v>
      </c>
      <c r="E57" s="2" t="s">
        <v>92</v>
      </c>
      <c r="F57" s="2">
        <v>100</v>
      </c>
      <c r="G57" s="1" t="s">
        <v>43</v>
      </c>
      <c r="H57" s="2">
        <v>650</v>
      </c>
      <c r="I57" s="2">
        <v>4</v>
      </c>
      <c r="J57" s="2">
        <v>1.6</v>
      </c>
      <c r="K57" s="22">
        <f>Лист2!$C$8-I57</f>
        <v>-4</v>
      </c>
      <c r="L57" s="22">
        <f>H57-Лист2!$C$9</f>
        <v>650</v>
      </c>
      <c r="M57" s="47" t="s">
        <v>22</v>
      </c>
    </row>
    <row r="58" spans="2:13" x14ac:dyDescent="0.25">
      <c r="B58" s="9">
        <v>56</v>
      </c>
      <c r="C58" s="39" t="s">
        <v>123</v>
      </c>
      <c r="D58" s="39" t="s">
        <v>84</v>
      </c>
      <c r="E58" s="2" t="s">
        <v>92</v>
      </c>
      <c r="F58" s="2">
        <v>100</v>
      </c>
      <c r="G58" s="1" t="s">
        <v>44</v>
      </c>
      <c r="H58" s="2">
        <v>650</v>
      </c>
      <c r="I58" s="2">
        <v>3</v>
      </c>
      <c r="J58" s="2">
        <v>1.6</v>
      </c>
      <c r="K58" s="22">
        <f>Лист2!$C$8-I58</f>
        <v>-3</v>
      </c>
      <c r="L58" s="22">
        <f>H58-Лист2!$C$9</f>
        <v>650</v>
      </c>
      <c r="M58" s="47" t="s">
        <v>192</v>
      </c>
    </row>
    <row r="59" spans="2:13" x14ac:dyDescent="0.25">
      <c r="B59" s="23">
        <v>57</v>
      </c>
      <c r="C59" s="38" t="s">
        <v>123</v>
      </c>
      <c r="D59" s="38" t="s">
        <v>84</v>
      </c>
      <c r="E59" s="27" t="s">
        <v>92</v>
      </c>
      <c r="F59" s="27">
        <v>100</v>
      </c>
      <c r="G59" s="25" t="s">
        <v>45</v>
      </c>
      <c r="H59" s="27">
        <v>650</v>
      </c>
      <c r="I59" s="27">
        <v>2.5</v>
      </c>
      <c r="J59" s="27">
        <v>1.6</v>
      </c>
      <c r="K59" s="26">
        <f>Лист2!$C$8-I59</f>
        <v>-2.5</v>
      </c>
      <c r="L59" s="26">
        <f>H59-Лист2!$C$9</f>
        <v>650</v>
      </c>
      <c r="M59" s="48" t="s">
        <v>192</v>
      </c>
    </row>
    <row r="60" spans="2:13" x14ac:dyDescent="0.25">
      <c r="B60" s="9">
        <v>58</v>
      </c>
      <c r="C60" s="39" t="s">
        <v>124</v>
      </c>
      <c r="D60" s="39" t="s">
        <v>84</v>
      </c>
      <c r="E60" s="2" t="s">
        <v>92</v>
      </c>
      <c r="F60" s="2">
        <v>150</v>
      </c>
      <c r="G60" s="1" t="s">
        <v>10</v>
      </c>
      <c r="H60" s="2">
        <v>650</v>
      </c>
      <c r="I60" s="2">
        <v>20</v>
      </c>
      <c r="J60" s="2">
        <v>1.6</v>
      </c>
      <c r="K60" s="22">
        <f>Лист2!$C$8-I60</f>
        <v>-20</v>
      </c>
      <c r="L60" s="22">
        <f>H60-Лист2!$C$9</f>
        <v>650</v>
      </c>
      <c r="M60" s="47" t="s">
        <v>22</v>
      </c>
    </row>
    <row r="61" spans="2:13" x14ac:dyDescent="0.25">
      <c r="B61" s="9">
        <v>59</v>
      </c>
      <c r="C61" s="39" t="s">
        <v>124</v>
      </c>
      <c r="D61" s="39" t="s">
        <v>84</v>
      </c>
      <c r="E61" s="2" t="s">
        <v>92</v>
      </c>
      <c r="F61" s="2">
        <v>150</v>
      </c>
      <c r="G61" s="1" t="s">
        <v>11</v>
      </c>
      <c r="H61" s="2">
        <v>650</v>
      </c>
      <c r="I61" s="2">
        <v>13</v>
      </c>
      <c r="J61" s="2">
        <v>1.6</v>
      </c>
      <c r="K61" s="22">
        <f>Лист2!$C$8-I61</f>
        <v>-13</v>
      </c>
      <c r="L61" s="22">
        <f>H61-Лист2!$C$9</f>
        <v>650</v>
      </c>
      <c r="M61" s="47" t="s">
        <v>22</v>
      </c>
    </row>
    <row r="62" spans="2:13" x14ac:dyDescent="0.25">
      <c r="B62" s="9">
        <v>60</v>
      </c>
      <c r="C62" s="39" t="s">
        <v>124</v>
      </c>
      <c r="D62" s="39" t="s">
        <v>84</v>
      </c>
      <c r="E62" s="2" t="s">
        <v>92</v>
      </c>
      <c r="F62" s="2">
        <v>150</v>
      </c>
      <c r="G62" s="1" t="s">
        <v>39</v>
      </c>
      <c r="H62" s="2">
        <v>650</v>
      </c>
      <c r="I62" s="2">
        <v>10</v>
      </c>
      <c r="J62" s="2">
        <v>1.6</v>
      </c>
      <c r="K62" s="22">
        <f>Лист2!$C$8-I62</f>
        <v>-10</v>
      </c>
      <c r="L62" s="22">
        <f>H62-Лист2!$C$9</f>
        <v>650</v>
      </c>
      <c r="M62" s="47" t="s">
        <v>22</v>
      </c>
    </row>
    <row r="63" spans="2:13" x14ac:dyDescent="0.25">
      <c r="B63" s="9">
        <v>61</v>
      </c>
      <c r="C63" s="39" t="s">
        <v>124</v>
      </c>
      <c r="D63" s="39" t="s">
        <v>84</v>
      </c>
      <c r="E63" s="2" t="s">
        <v>92</v>
      </c>
      <c r="F63" s="2">
        <v>150</v>
      </c>
      <c r="G63" s="1" t="s">
        <v>40</v>
      </c>
      <c r="H63" s="2">
        <v>650</v>
      </c>
      <c r="I63" s="2">
        <v>8</v>
      </c>
      <c r="J63" s="2">
        <v>1.6</v>
      </c>
      <c r="K63" s="22">
        <f>Лист2!$C$8-I63</f>
        <v>-8</v>
      </c>
      <c r="L63" s="22">
        <f>H63-Лист2!$C$9</f>
        <v>650</v>
      </c>
      <c r="M63" s="47" t="s">
        <v>22</v>
      </c>
    </row>
    <row r="64" spans="2:13" x14ac:dyDescent="0.25">
      <c r="B64" s="9">
        <v>62</v>
      </c>
      <c r="C64" s="39" t="s">
        <v>124</v>
      </c>
      <c r="D64" s="39" t="s">
        <v>84</v>
      </c>
      <c r="E64" s="2" t="s">
        <v>92</v>
      </c>
      <c r="F64" s="2">
        <v>150</v>
      </c>
      <c r="G64" s="1" t="s">
        <v>41</v>
      </c>
      <c r="H64" s="2">
        <v>650</v>
      </c>
      <c r="I64" s="2">
        <v>6.5</v>
      </c>
      <c r="J64" s="2">
        <v>1.6</v>
      </c>
      <c r="K64" s="22">
        <f>Лист2!$C$8-I64</f>
        <v>-6.5</v>
      </c>
      <c r="L64" s="22">
        <f>H64-Лист2!$C$9</f>
        <v>650</v>
      </c>
      <c r="M64" s="47" t="s">
        <v>22</v>
      </c>
    </row>
    <row r="65" spans="2:13" x14ac:dyDescent="0.25">
      <c r="B65" s="9">
        <v>63</v>
      </c>
      <c r="C65" s="39" t="s">
        <v>124</v>
      </c>
      <c r="D65" s="39" t="s">
        <v>84</v>
      </c>
      <c r="E65" s="2" t="s">
        <v>92</v>
      </c>
      <c r="F65" s="2">
        <v>150</v>
      </c>
      <c r="G65" s="1" t="s">
        <v>42</v>
      </c>
      <c r="H65" s="2">
        <v>650</v>
      </c>
      <c r="I65" s="2">
        <v>5</v>
      </c>
      <c r="J65" s="2">
        <v>1.6</v>
      </c>
      <c r="K65" s="22">
        <f>Лист2!$C$8-I65</f>
        <v>-5</v>
      </c>
      <c r="L65" s="22">
        <f>H65-Лист2!$C$9</f>
        <v>650</v>
      </c>
      <c r="M65" s="47" t="s">
        <v>192</v>
      </c>
    </row>
    <row r="66" spans="2:13" x14ac:dyDescent="0.25">
      <c r="B66" s="23">
        <v>64</v>
      </c>
      <c r="C66" s="38" t="s">
        <v>124</v>
      </c>
      <c r="D66" s="38" t="s">
        <v>84</v>
      </c>
      <c r="E66" s="27" t="s">
        <v>92</v>
      </c>
      <c r="F66" s="27">
        <v>150</v>
      </c>
      <c r="G66" s="25" t="s">
        <v>43</v>
      </c>
      <c r="H66" s="27">
        <v>650</v>
      </c>
      <c r="I66" s="27">
        <v>4</v>
      </c>
      <c r="J66" s="27">
        <v>1.6</v>
      </c>
      <c r="K66" s="26">
        <f>Лист2!$C$8-I66</f>
        <v>-4</v>
      </c>
      <c r="L66" s="26">
        <f>H66-Лист2!$C$9</f>
        <v>650</v>
      </c>
      <c r="M66" s="48" t="s">
        <v>192</v>
      </c>
    </row>
    <row r="67" spans="2:13" x14ac:dyDescent="0.25">
      <c r="B67" s="9">
        <v>65</v>
      </c>
      <c r="C67" s="39" t="s">
        <v>125</v>
      </c>
      <c r="D67" s="39" t="s">
        <v>84</v>
      </c>
      <c r="E67" s="2" t="s">
        <v>93</v>
      </c>
      <c r="F67" s="2">
        <v>150</v>
      </c>
      <c r="G67" s="1" t="s">
        <v>10</v>
      </c>
      <c r="H67" s="2">
        <v>1000</v>
      </c>
      <c r="I67" s="2">
        <v>33</v>
      </c>
      <c r="J67" s="2">
        <v>1.6</v>
      </c>
      <c r="K67" s="22">
        <f>Лист2!$C$8-I67</f>
        <v>-33</v>
      </c>
      <c r="L67" s="22">
        <f>H67-Лист2!$C$9</f>
        <v>1000</v>
      </c>
      <c r="M67" s="47" t="s">
        <v>22</v>
      </c>
    </row>
    <row r="68" spans="2:13" x14ac:dyDescent="0.25">
      <c r="B68" s="9">
        <v>66</v>
      </c>
      <c r="C68" s="39" t="s">
        <v>125</v>
      </c>
      <c r="D68" s="39" t="s">
        <v>84</v>
      </c>
      <c r="E68" s="2" t="s">
        <v>93</v>
      </c>
      <c r="F68" s="2">
        <v>150</v>
      </c>
      <c r="G68" s="1" t="s">
        <v>11</v>
      </c>
      <c r="H68" s="2">
        <v>1000</v>
      </c>
      <c r="I68" s="2">
        <v>20</v>
      </c>
      <c r="J68" s="2">
        <v>1.6</v>
      </c>
      <c r="K68" s="22">
        <f>Лист2!$C$8-I68</f>
        <v>-20</v>
      </c>
      <c r="L68" s="22">
        <f>H68-Лист2!$C$9</f>
        <v>1000</v>
      </c>
      <c r="M68" s="47" t="s">
        <v>22</v>
      </c>
    </row>
    <row r="69" spans="2:13" x14ac:dyDescent="0.25">
      <c r="B69" s="9">
        <v>67</v>
      </c>
      <c r="C69" s="39" t="s">
        <v>125</v>
      </c>
      <c r="D69" s="39" t="s">
        <v>84</v>
      </c>
      <c r="E69" s="2" t="s">
        <v>93</v>
      </c>
      <c r="F69" s="2">
        <v>150</v>
      </c>
      <c r="G69" s="1" t="s">
        <v>39</v>
      </c>
      <c r="H69" s="2">
        <v>1000</v>
      </c>
      <c r="I69" s="2">
        <v>16</v>
      </c>
      <c r="J69" s="2">
        <v>1.6</v>
      </c>
      <c r="K69" s="22">
        <f>Лист2!$C$8-I69</f>
        <v>-16</v>
      </c>
      <c r="L69" s="22">
        <f>H69-Лист2!$C$9</f>
        <v>1000</v>
      </c>
      <c r="M69" s="47" t="s">
        <v>22</v>
      </c>
    </row>
    <row r="70" spans="2:13" x14ac:dyDescent="0.25">
      <c r="B70" s="9">
        <v>68</v>
      </c>
      <c r="C70" s="39" t="s">
        <v>125</v>
      </c>
      <c r="D70" s="39" t="s">
        <v>84</v>
      </c>
      <c r="E70" s="2" t="s">
        <v>93</v>
      </c>
      <c r="F70" s="2">
        <v>150</v>
      </c>
      <c r="G70" s="1" t="s">
        <v>40</v>
      </c>
      <c r="H70" s="2">
        <v>1000</v>
      </c>
      <c r="I70" s="2">
        <v>12</v>
      </c>
      <c r="J70" s="2">
        <v>1.6</v>
      </c>
      <c r="K70" s="22">
        <f>Лист2!$C$8-I70</f>
        <v>-12</v>
      </c>
      <c r="L70" s="22">
        <f>H70-Лист2!$C$9</f>
        <v>1000</v>
      </c>
      <c r="M70" s="47" t="s">
        <v>22</v>
      </c>
    </row>
    <row r="71" spans="2:13" x14ac:dyDescent="0.25">
      <c r="B71" s="9">
        <v>69</v>
      </c>
      <c r="C71" s="39" t="s">
        <v>125</v>
      </c>
      <c r="D71" s="39" t="s">
        <v>84</v>
      </c>
      <c r="E71" s="2" t="s">
        <v>93</v>
      </c>
      <c r="F71" s="2">
        <v>150</v>
      </c>
      <c r="G71" s="1" t="s">
        <v>41</v>
      </c>
      <c r="H71" s="2">
        <v>1000</v>
      </c>
      <c r="I71" s="2">
        <v>10</v>
      </c>
      <c r="J71" s="2">
        <v>1.6</v>
      </c>
      <c r="K71" s="22">
        <f>Лист2!$C$8-I71</f>
        <v>-10</v>
      </c>
      <c r="L71" s="22">
        <f>H71-Лист2!$C$9</f>
        <v>1000</v>
      </c>
      <c r="M71" s="47" t="s">
        <v>22</v>
      </c>
    </row>
    <row r="72" spans="2:13" x14ac:dyDescent="0.25">
      <c r="B72" s="9">
        <v>70</v>
      </c>
      <c r="C72" s="39" t="s">
        <v>125</v>
      </c>
      <c r="D72" s="39" t="s">
        <v>84</v>
      </c>
      <c r="E72" s="2" t="s">
        <v>93</v>
      </c>
      <c r="F72" s="2">
        <v>150</v>
      </c>
      <c r="G72" s="1" t="s">
        <v>42</v>
      </c>
      <c r="H72" s="2">
        <v>1000</v>
      </c>
      <c r="I72" s="2">
        <v>8</v>
      </c>
      <c r="J72" s="2">
        <v>1.6</v>
      </c>
      <c r="K72" s="22">
        <f>Лист2!$C$8-I72</f>
        <v>-8</v>
      </c>
      <c r="L72" s="22">
        <f>H72-Лист2!$C$9</f>
        <v>1000</v>
      </c>
      <c r="M72" s="47" t="s">
        <v>192</v>
      </c>
    </row>
    <row r="73" spans="2:13" x14ac:dyDescent="0.25">
      <c r="B73" s="23">
        <v>71</v>
      </c>
      <c r="C73" s="38" t="s">
        <v>125</v>
      </c>
      <c r="D73" s="38" t="s">
        <v>84</v>
      </c>
      <c r="E73" s="27" t="s">
        <v>93</v>
      </c>
      <c r="F73" s="27">
        <v>150</v>
      </c>
      <c r="G73" s="25" t="s">
        <v>43</v>
      </c>
      <c r="H73" s="27">
        <v>1000</v>
      </c>
      <c r="I73" s="27">
        <v>6</v>
      </c>
      <c r="J73" s="27">
        <v>1.6</v>
      </c>
      <c r="K73" s="26">
        <f>Лист2!$C$8-I73</f>
        <v>-6</v>
      </c>
      <c r="L73" s="26">
        <f>H73-Лист2!$C$9</f>
        <v>1000</v>
      </c>
      <c r="M73" s="48" t="s">
        <v>192</v>
      </c>
    </row>
    <row r="74" spans="2:13" x14ac:dyDescent="0.25">
      <c r="B74" s="9">
        <v>72</v>
      </c>
      <c r="C74" s="39" t="s">
        <v>126</v>
      </c>
      <c r="D74" s="39" t="s">
        <v>84</v>
      </c>
      <c r="E74" s="2" t="s">
        <v>94</v>
      </c>
      <c r="F74" s="2">
        <v>200</v>
      </c>
      <c r="G74" s="1" t="s">
        <v>10</v>
      </c>
      <c r="H74" s="2">
        <v>1600</v>
      </c>
      <c r="I74" s="2">
        <v>53</v>
      </c>
      <c r="J74" s="2">
        <v>1.6</v>
      </c>
      <c r="K74" s="22">
        <f>Лист2!$C$8-I74</f>
        <v>-53</v>
      </c>
      <c r="L74" s="22">
        <f>H74-Лист2!$C$9</f>
        <v>1600</v>
      </c>
      <c r="M74" s="47" t="s">
        <v>22</v>
      </c>
    </row>
    <row r="75" spans="2:13" x14ac:dyDescent="0.25">
      <c r="B75" s="9">
        <v>73</v>
      </c>
      <c r="C75" s="39" t="s">
        <v>126</v>
      </c>
      <c r="D75" s="39" t="s">
        <v>84</v>
      </c>
      <c r="E75" s="2" t="s">
        <v>94</v>
      </c>
      <c r="F75" s="2">
        <v>200</v>
      </c>
      <c r="G75" s="1" t="s">
        <v>11</v>
      </c>
      <c r="H75" s="2">
        <v>1600</v>
      </c>
      <c r="I75" s="2">
        <v>32</v>
      </c>
      <c r="J75" s="2">
        <v>1.6</v>
      </c>
      <c r="K75" s="22">
        <f>Лист2!$C$8-I75</f>
        <v>-32</v>
      </c>
      <c r="L75" s="22">
        <f>H75-Лист2!$C$9</f>
        <v>1600</v>
      </c>
      <c r="M75" s="47" t="s">
        <v>22</v>
      </c>
    </row>
    <row r="76" spans="2:13" x14ac:dyDescent="0.25">
      <c r="B76" s="9">
        <v>74</v>
      </c>
      <c r="C76" s="39" t="s">
        <v>126</v>
      </c>
      <c r="D76" s="39" t="s">
        <v>84</v>
      </c>
      <c r="E76" s="2" t="s">
        <v>94</v>
      </c>
      <c r="F76" s="2">
        <v>200</v>
      </c>
      <c r="G76" s="1" t="s">
        <v>39</v>
      </c>
      <c r="H76" s="2">
        <v>1600</v>
      </c>
      <c r="I76" s="2">
        <v>24</v>
      </c>
      <c r="J76" s="2">
        <v>1.6</v>
      </c>
      <c r="K76" s="22">
        <f>Лист2!$C$8-I76</f>
        <v>-24</v>
      </c>
      <c r="L76" s="22">
        <f>H76-Лист2!$C$9</f>
        <v>1600</v>
      </c>
      <c r="M76" s="47" t="s">
        <v>22</v>
      </c>
    </row>
    <row r="77" spans="2:13" x14ac:dyDescent="0.25">
      <c r="B77" s="9">
        <v>75</v>
      </c>
      <c r="C77" s="39" t="s">
        <v>126</v>
      </c>
      <c r="D77" s="39" t="s">
        <v>84</v>
      </c>
      <c r="E77" s="2" t="s">
        <v>94</v>
      </c>
      <c r="F77" s="2">
        <v>200</v>
      </c>
      <c r="G77" s="1" t="s">
        <v>40</v>
      </c>
      <c r="H77" s="2">
        <v>1600</v>
      </c>
      <c r="I77" s="2">
        <v>20</v>
      </c>
      <c r="J77" s="2">
        <v>1.6</v>
      </c>
      <c r="K77" s="22">
        <f>Лист2!$C$8-I77</f>
        <v>-20</v>
      </c>
      <c r="L77" s="22">
        <f>H77-Лист2!$C$9</f>
        <v>1600</v>
      </c>
      <c r="M77" s="47" t="s">
        <v>22</v>
      </c>
    </row>
    <row r="78" spans="2:13" x14ac:dyDescent="0.25">
      <c r="B78" s="9">
        <v>76</v>
      </c>
      <c r="C78" s="39" t="s">
        <v>126</v>
      </c>
      <c r="D78" s="39" t="s">
        <v>84</v>
      </c>
      <c r="E78" s="2" t="s">
        <v>94</v>
      </c>
      <c r="F78" s="2">
        <v>200</v>
      </c>
      <c r="G78" s="1" t="s">
        <v>41</v>
      </c>
      <c r="H78" s="2">
        <v>1600</v>
      </c>
      <c r="I78" s="2">
        <v>16</v>
      </c>
      <c r="J78" s="2">
        <v>1.6</v>
      </c>
      <c r="K78" s="22">
        <f>Лист2!$C$8-I78</f>
        <v>-16</v>
      </c>
      <c r="L78" s="22">
        <f>H78-Лист2!$C$9</f>
        <v>1600</v>
      </c>
      <c r="M78" s="47" t="s">
        <v>22</v>
      </c>
    </row>
    <row r="79" spans="2:13" x14ac:dyDescent="0.25">
      <c r="B79" s="9">
        <v>77</v>
      </c>
      <c r="C79" s="39" t="s">
        <v>126</v>
      </c>
      <c r="D79" s="39" t="s">
        <v>84</v>
      </c>
      <c r="E79" s="2" t="s">
        <v>94</v>
      </c>
      <c r="F79" s="2">
        <v>200</v>
      </c>
      <c r="G79" s="1" t="s">
        <v>42</v>
      </c>
      <c r="H79" s="2">
        <v>1600</v>
      </c>
      <c r="I79" s="2">
        <v>12</v>
      </c>
      <c r="J79" s="2">
        <v>1.6</v>
      </c>
      <c r="K79" s="22">
        <f>Лист2!$C$8-I79</f>
        <v>-12</v>
      </c>
      <c r="L79" s="22">
        <f>H79-Лист2!$C$9</f>
        <v>1600</v>
      </c>
      <c r="M79" s="47" t="s">
        <v>192</v>
      </c>
    </row>
    <row r="80" spans="2:13" x14ac:dyDescent="0.25">
      <c r="B80" s="23">
        <v>78</v>
      </c>
      <c r="C80" s="38" t="s">
        <v>126</v>
      </c>
      <c r="D80" s="38" t="s">
        <v>84</v>
      </c>
      <c r="E80" s="27" t="s">
        <v>94</v>
      </c>
      <c r="F80" s="27">
        <v>200</v>
      </c>
      <c r="G80" s="25" t="s">
        <v>43</v>
      </c>
      <c r="H80" s="27">
        <v>1600</v>
      </c>
      <c r="I80" s="27">
        <v>10</v>
      </c>
      <c r="J80" s="27">
        <v>1.6</v>
      </c>
      <c r="K80" s="26">
        <f>Лист2!$C$8-I80</f>
        <v>-10</v>
      </c>
      <c r="L80" s="26">
        <f>H80-Лист2!$C$9</f>
        <v>1600</v>
      </c>
      <c r="M80" s="48" t="s">
        <v>192</v>
      </c>
    </row>
    <row r="81" spans="1:13" x14ac:dyDescent="0.25">
      <c r="A81" t="s">
        <v>50</v>
      </c>
      <c r="B81" s="9">
        <v>79</v>
      </c>
      <c r="C81" s="39" t="s">
        <v>127</v>
      </c>
      <c r="D81" s="39" t="s">
        <v>87</v>
      </c>
      <c r="E81" s="18" t="s">
        <v>88</v>
      </c>
      <c r="F81" s="18">
        <v>50</v>
      </c>
      <c r="G81" s="19" t="s">
        <v>36</v>
      </c>
      <c r="H81" s="18">
        <v>100</v>
      </c>
      <c r="I81" s="18">
        <v>5</v>
      </c>
      <c r="J81" s="18">
        <v>1.6</v>
      </c>
      <c r="K81" s="20">
        <f>Лист2!$C$8-I81</f>
        <v>-5</v>
      </c>
      <c r="L81" s="20">
        <f>H81-Лист2!$C$9</f>
        <v>100</v>
      </c>
      <c r="M81" s="49" t="s">
        <v>22</v>
      </c>
    </row>
    <row r="82" spans="1:13" x14ac:dyDescent="0.25">
      <c r="B82" s="9">
        <v>80</v>
      </c>
      <c r="C82" s="39" t="s">
        <v>128</v>
      </c>
      <c r="D82" s="39" t="s">
        <v>87</v>
      </c>
      <c r="E82" s="18" t="s">
        <v>89</v>
      </c>
      <c r="F82" s="18">
        <v>80</v>
      </c>
      <c r="G82" s="19" t="s">
        <v>36</v>
      </c>
      <c r="H82" s="18">
        <v>160</v>
      </c>
      <c r="I82" s="2">
        <v>8</v>
      </c>
      <c r="J82" s="2">
        <v>1.6</v>
      </c>
      <c r="K82" s="20">
        <f>Лист2!$C$8-I82</f>
        <v>-8</v>
      </c>
      <c r="L82" s="20">
        <f>H82-Лист2!$C$9</f>
        <v>160</v>
      </c>
      <c r="M82" s="49" t="s">
        <v>22</v>
      </c>
    </row>
    <row r="83" spans="1:13" x14ac:dyDescent="0.25">
      <c r="B83" s="9">
        <v>81</v>
      </c>
      <c r="C83" s="39" t="s">
        <v>129</v>
      </c>
      <c r="D83" s="39" t="s">
        <v>87</v>
      </c>
      <c r="E83" s="18" t="s">
        <v>90</v>
      </c>
      <c r="F83" s="18">
        <v>80</v>
      </c>
      <c r="G83" s="19" t="s">
        <v>36</v>
      </c>
      <c r="H83" s="18">
        <v>250</v>
      </c>
      <c r="I83" s="18">
        <v>12.5</v>
      </c>
      <c r="J83" s="18">
        <v>1.6</v>
      </c>
      <c r="K83" s="20">
        <f>Лист2!$C$8-I83</f>
        <v>-12.5</v>
      </c>
      <c r="L83" s="20">
        <f>H83-Лист2!$C$9</f>
        <v>250</v>
      </c>
      <c r="M83" s="49" t="s">
        <v>22</v>
      </c>
    </row>
    <row r="84" spans="1:13" x14ac:dyDescent="0.25">
      <c r="B84" s="9">
        <v>82</v>
      </c>
      <c r="C84" s="39" t="s">
        <v>130</v>
      </c>
      <c r="D84" s="39" t="s">
        <v>87</v>
      </c>
      <c r="E84" s="18" t="s">
        <v>91</v>
      </c>
      <c r="F84" s="2">
        <v>80</v>
      </c>
      <c r="G84" s="19" t="s">
        <v>36</v>
      </c>
      <c r="H84" s="2">
        <v>400</v>
      </c>
      <c r="I84" s="2">
        <v>20</v>
      </c>
      <c r="J84" s="2">
        <v>1.6</v>
      </c>
      <c r="K84" s="20">
        <f>Лист2!$C$8-I84</f>
        <v>-20</v>
      </c>
      <c r="L84" s="20">
        <f>H84-Лист2!$C$9</f>
        <v>400</v>
      </c>
      <c r="M84" s="49" t="s">
        <v>22</v>
      </c>
    </row>
    <row r="85" spans="1:13" x14ac:dyDescent="0.25">
      <c r="B85" s="9">
        <v>83</v>
      </c>
      <c r="C85" s="39" t="s">
        <v>130</v>
      </c>
      <c r="D85" s="39" t="s">
        <v>87</v>
      </c>
      <c r="E85" s="18" t="s">
        <v>91</v>
      </c>
      <c r="F85" s="2">
        <v>80</v>
      </c>
      <c r="G85" s="19" t="s">
        <v>10</v>
      </c>
      <c r="H85" s="2">
        <v>400</v>
      </c>
      <c r="I85" s="2">
        <v>13</v>
      </c>
      <c r="J85" s="2">
        <v>1.6</v>
      </c>
      <c r="K85" s="20">
        <f>Лист2!$C$8-I85</f>
        <v>-13</v>
      </c>
      <c r="L85" s="20">
        <f>H85-Лист2!$C$9</f>
        <v>400</v>
      </c>
      <c r="M85" s="49" t="s">
        <v>22</v>
      </c>
    </row>
    <row r="86" spans="1:13" x14ac:dyDescent="0.25">
      <c r="B86" s="9">
        <v>84</v>
      </c>
      <c r="C86" s="39" t="s">
        <v>130</v>
      </c>
      <c r="D86" s="39" t="s">
        <v>87</v>
      </c>
      <c r="E86" s="18" t="s">
        <v>91</v>
      </c>
      <c r="F86" s="2">
        <v>80</v>
      </c>
      <c r="G86" s="19" t="s">
        <v>37</v>
      </c>
      <c r="H86" s="2">
        <v>400</v>
      </c>
      <c r="I86" s="2">
        <v>10</v>
      </c>
      <c r="J86" s="2">
        <v>1.6</v>
      </c>
      <c r="K86" s="20">
        <f>Лист2!$C$8-I86</f>
        <v>-10</v>
      </c>
      <c r="L86" s="20">
        <f>H86-Лист2!$C$9</f>
        <v>400</v>
      </c>
      <c r="M86" s="49" t="s">
        <v>192</v>
      </c>
    </row>
    <row r="87" spans="1:13" x14ac:dyDescent="0.25">
      <c r="B87" s="9">
        <v>85</v>
      </c>
      <c r="C87" s="39" t="s">
        <v>130</v>
      </c>
      <c r="D87" s="39" t="s">
        <v>87</v>
      </c>
      <c r="E87" s="18" t="s">
        <v>91</v>
      </c>
      <c r="F87" s="2">
        <v>80</v>
      </c>
      <c r="G87" s="19" t="s">
        <v>11</v>
      </c>
      <c r="H87" s="2">
        <v>400</v>
      </c>
      <c r="I87" s="2">
        <v>8</v>
      </c>
      <c r="J87" s="2">
        <v>1.6</v>
      </c>
      <c r="K87" s="20">
        <f>Лист2!$C$8-I87</f>
        <v>-8</v>
      </c>
      <c r="L87" s="20">
        <f>H87-Лист2!$C$9</f>
        <v>400</v>
      </c>
      <c r="M87" s="49" t="s">
        <v>192</v>
      </c>
    </row>
    <row r="88" spans="1:13" x14ac:dyDescent="0.25">
      <c r="B88" s="9">
        <v>86</v>
      </c>
      <c r="C88" s="39" t="s">
        <v>131</v>
      </c>
      <c r="D88" s="39" t="s">
        <v>87</v>
      </c>
      <c r="E88" s="18" t="s">
        <v>90</v>
      </c>
      <c r="F88" s="2">
        <v>100</v>
      </c>
      <c r="G88" s="19" t="s">
        <v>36</v>
      </c>
      <c r="H88" s="2">
        <v>250</v>
      </c>
      <c r="I88" s="2">
        <v>12.5</v>
      </c>
      <c r="J88" s="2">
        <v>1.6</v>
      </c>
      <c r="K88" s="20">
        <f>Лист2!$C$8-I88</f>
        <v>-12.5</v>
      </c>
      <c r="L88" s="20">
        <f>H88-Лист2!$C$9</f>
        <v>250</v>
      </c>
      <c r="M88" s="49" t="s">
        <v>22</v>
      </c>
    </row>
    <row r="89" spans="1:13" x14ac:dyDescent="0.25">
      <c r="B89" s="9">
        <v>87</v>
      </c>
      <c r="C89" s="39" t="s">
        <v>132</v>
      </c>
      <c r="D89" s="39" t="s">
        <v>87</v>
      </c>
      <c r="E89" s="18" t="s">
        <v>91</v>
      </c>
      <c r="F89" s="2">
        <v>100</v>
      </c>
      <c r="G89" s="19" t="s">
        <v>36</v>
      </c>
      <c r="H89" s="2">
        <v>400</v>
      </c>
      <c r="I89" s="2">
        <v>20</v>
      </c>
      <c r="J89" s="2">
        <v>1.6</v>
      </c>
      <c r="K89" s="20">
        <f>Лист2!$C$8-I89</f>
        <v>-20</v>
      </c>
      <c r="L89" s="20">
        <f>H89-Лист2!$C$9</f>
        <v>400</v>
      </c>
      <c r="M89" s="49" t="s">
        <v>22</v>
      </c>
    </row>
    <row r="90" spans="1:13" x14ac:dyDescent="0.25">
      <c r="B90" s="9">
        <v>88</v>
      </c>
      <c r="C90" s="39" t="s">
        <v>132</v>
      </c>
      <c r="D90" s="39" t="s">
        <v>87</v>
      </c>
      <c r="E90" s="18" t="s">
        <v>91</v>
      </c>
      <c r="F90" s="2">
        <v>100</v>
      </c>
      <c r="G90" s="19" t="s">
        <v>10</v>
      </c>
      <c r="H90" s="2">
        <v>400</v>
      </c>
      <c r="I90" s="2">
        <v>13</v>
      </c>
      <c r="J90" s="2">
        <v>1.6</v>
      </c>
      <c r="K90" s="20">
        <f>Лист2!$C$8-I90</f>
        <v>-13</v>
      </c>
      <c r="L90" s="20">
        <f>H90-Лист2!$C$9</f>
        <v>400</v>
      </c>
      <c r="M90" s="49" t="s">
        <v>22</v>
      </c>
    </row>
    <row r="91" spans="1:13" x14ac:dyDescent="0.25">
      <c r="B91" s="9">
        <v>89</v>
      </c>
      <c r="C91" s="39" t="s">
        <v>132</v>
      </c>
      <c r="D91" s="39" t="s">
        <v>87</v>
      </c>
      <c r="E91" s="18" t="s">
        <v>91</v>
      </c>
      <c r="F91" s="2">
        <v>100</v>
      </c>
      <c r="G91" s="19" t="s">
        <v>37</v>
      </c>
      <c r="H91" s="2">
        <v>400</v>
      </c>
      <c r="I91" s="2">
        <v>10</v>
      </c>
      <c r="J91" s="2">
        <v>1.6</v>
      </c>
      <c r="K91" s="20">
        <f>Лист2!$C$8-I91</f>
        <v>-10</v>
      </c>
      <c r="L91" s="20">
        <f>H91-Лист2!$C$9</f>
        <v>400</v>
      </c>
      <c r="M91" s="49" t="s">
        <v>192</v>
      </c>
    </row>
    <row r="92" spans="1:13" x14ac:dyDescent="0.25">
      <c r="B92" s="9">
        <v>90</v>
      </c>
      <c r="C92" s="39" t="s">
        <v>133</v>
      </c>
      <c r="D92" s="39" t="s">
        <v>87</v>
      </c>
      <c r="E92" s="18" t="s">
        <v>92</v>
      </c>
      <c r="F92" s="2">
        <v>100</v>
      </c>
      <c r="G92" s="19" t="s">
        <v>36</v>
      </c>
      <c r="H92" s="2">
        <v>650</v>
      </c>
      <c r="I92" s="2">
        <v>32.5</v>
      </c>
      <c r="J92" s="2">
        <v>1.6</v>
      </c>
      <c r="K92" s="20">
        <f>Лист2!$C$8-I92</f>
        <v>-32.5</v>
      </c>
      <c r="L92" s="20">
        <f>H92-Лист2!$C$9</f>
        <v>650</v>
      </c>
      <c r="M92" s="49" t="s">
        <v>22</v>
      </c>
    </row>
    <row r="93" spans="1:13" x14ac:dyDescent="0.25">
      <c r="B93" s="9">
        <v>91</v>
      </c>
      <c r="C93" s="39" t="s">
        <v>133</v>
      </c>
      <c r="D93" s="39" t="s">
        <v>87</v>
      </c>
      <c r="E93" s="18" t="s">
        <v>92</v>
      </c>
      <c r="F93" s="2">
        <v>100</v>
      </c>
      <c r="G93" s="19" t="s">
        <v>10</v>
      </c>
      <c r="H93" s="2">
        <v>650</v>
      </c>
      <c r="I93" s="2">
        <v>21.5</v>
      </c>
      <c r="J93" s="2">
        <v>1.6</v>
      </c>
      <c r="K93" s="20">
        <f>Лист2!$C$8-I93</f>
        <v>-21.5</v>
      </c>
      <c r="L93" s="20">
        <f>H93-Лист2!$C$9</f>
        <v>650</v>
      </c>
      <c r="M93" s="49" t="s">
        <v>22</v>
      </c>
    </row>
    <row r="94" spans="1:13" x14ac:dyDescent="0.25">
      <c r="B94" s="9">
        <v>92</v>
      </c>
      <c r="C94" s="39" t="s">
        <v>133</v>
      </c>
      <c r="D94" s="39" t="s">
        <v>87</v>
      </c>
      <c r="E94" s="18" t="s">
        <v>92</v>
      </c>
      <c r="F94" s="2">
        <v>100</v>
      </c>
      <c r="G94" s="19" t="s">
        <v>37</v>
      </c>
      <c r="H94" s="2">
        <v>650</v>
      </c>
      <c r="I94" s="2">
        <v>16</v>
      </c>
      <c r="J94" s="2">
        <v>1.6</v>
      </c>
      <c r="K94" s="20">
        <f>Лист2!$C$8-I94</f>
        <v>-16</v>
      </c>
      <c r="L94" s="20">
        <f>H94-Лист2!$C$9</f>
        <v>650</v>
      </c>
      <c r="M94" s="49" t="s">
        <v>192</v>
      </c>
    </row>
    <row r="95" spans="1:13" x14ac:dyDescent="0.25">
      <c r="B95" s="9">
        <v>93</v>
      </c>
      <c r="C95" s="39" t="s">
        <v>133</v>
      </c>
      <c r="D95" s="39" t="s">
        <v>87</v>
      </c>
      <c r="E95" s="18" t="s">
        <v>92</v>
      </c>
      <c r="F95" s="2">
        <v>100</v>
      </c>
      <c r="G95" s="19" t="s">
        <v>11</v>
      </c>
      <c r="H95" s="2">
        <v>650</v>
      </c>
      <c r="I95" s="2">
        <v>13</v>
      </c>
      <c r="J95" s="2">
        <v>1.6</v>
      </c>
      <c r="K95" s="20">
        <f>Лист2!$C$8-I95</f>
        <v>-13</v>
      </c>
      <c r="L95" s="20">
        <f>H95-Лист2!$C$9</f>
        <v>650</v>
      </c>
      <c r="M95" s="49" t="s">
        <v>192</v>
      </c>
    </row>
    <row r="96" spans="1:13" x14ac:dyDescent="0.25">
      <c r="B96" s="9">
        <v>94</v>
      </c>
      <c r="C96" s="39" t="s">
        <v>134</v>
      </c>
      <c r="D96" s="39" t="s">
        <v>87</v>
      </c>
      <c r="E96" s="2" t="s">
        <v>92</v>
      </c>
      <c r="F96" s="2">
        <v>150</v>
      </c>
      <c r="G96" s="19" t="s">
        <v>36</v>
      </c>
      <c r="H96" s="2">
        <v>650</v>
      </c>
      <c r="I96" s="2">
        <v>32.5</v>
      </c>
      <c r="J96" s="2">
        <v>1.6</v>
      </c>
      <c r="K96" s="20">
        <f>Лист2!$C$8-I96</f>
        <v>-32.5</v>
      </c>
      <c r="L96" s="20">
        <f>H96-Лист2!$C$9</f>
        <v>650</v>
      </c>
      <c r="M96" s="49" t="s">
        <v>22</v>
      </c>
    </row>
    <row r="97" spans="2:13" x14ac:dyDescent="0.25">
      <c r="B97" s="9">
        <v>95</v>
      </c>
      <c r="C97" s="39" t="s">
        <v>135</v>
      </c>
      <c r="D97" s="39" t="s">
        <v>87</v>
      </c>
      <c r="E97" s="2" t="s">
        <v>93</v>
      </c>
      <c r="F97" s="2">
        <v>150</v>
      </c>
      <c r="G97" s="19" t="s">
        <v>36</v>
      </c>
      <c r="H97" s="2">
        <v>1000</v>
      </c>
      <c r="I97" s="2">
        <v>50</v>
      </c>
      <c r="J97" s="2">
        <v>1.6</v>
      </c>
      <c r="K97" s="20">
        <f>Лист2!$C$8-I97</f>
        <v>-50</v>
      </c>
      <c r="L97" s="20">
        <f>H97-Лист2!$C$9</f>
        <v>1000</v>
      </c>
      <c r="M97" s="49" t="s">
        <v>22</v>
      </c>
    </row>
    <row r="98" spans="2:13" x14ac:dyDescent="0.25">
      <c r="B98" s="9">
        <v>96</v>
      </c>
      <c r="C98" s="39" t="s">
        <v>135</v>
      </c>
      <c r="D98" s="39" t="s">
        <v>87</v>
      </c>
      <c r="E98" s="2" t="s">
        <v>93</v>
      </c>
      <c r="F98" s="2">
        <v>150</v>
      </c>
      <c r="G98" s="19" t="s">
        <v>10</v>
      </c>
      <c r="H98" s="2">
        <v>1000</v>
      </c>
      <c r="I98" s="2">
        <v>33</v>
      </c>
      <c r="J98" s="2">
        <v>1.6</v>
      </c>
      <c r="K98" s="20">
        <f>Лист2!$C$8-I98</f>
        <v>-33</v>
      </c>
      <c r="L98" s="20">
        <f>H98-Лист2!$C$9</f>
        <v>1000</v>
      </c>
      <c r="M98" s="49" t="s">
        <v>22</v>
      </c>
    </row>
    <row r="99" spans="2:13" x14ac:dyDescent="0.25">
      <c r="B99" s="9">
        <v>97</v>
      </c>
      <c r="C99" s="39" t="s">
        <v>135</v>
      </c>
      <c r="D99" s="39" t="s">
        <v>87</v>
      </c>
      <c r="E99" s="2" t="s">
        <v>93</v>
      </c>
      <c r="F99" s="2">
        <v>150</v>
      </c>
      <c r="G99" s="19" t="s">
        <v>37</v>
      </c>
      <c r="H99" s="2">
        <v>1000</v>
      </c>
      <c r="I99" s="2">
        <v>25</v>
      </c>
      <c r="J99" s="2">
        <v>1.6</v>
      </c>
      <c r="K99" s="20">
        <f>Лист2!$C$8-I99</f>
        <v>-25</v>
      </c>
      <c r="L99" s="20">
        <f>H99-Лист2!$C$9</f>
        <v>1000</v>
      </c>
      <c r="M99" s="49" t="s">
        <v>192</v>
      </c>
    </row>
    <row r="100" spans="2:13" x14ac:dyDescent="0.25">
      <c r="B100" s="9">
        <v>98</v>
      </c>
      <c r="C100" s="39" t="s">
        <v>136</v>
      </c>
      <c r="D100" s="39" t="s">
        <v>87</v>
      </c>
      <c r="E100" s="2" t="s">
        <v>94</v>
      </c>
      <c r="F100" s="2">
        <v>150</v>
      </c>
      <c r="G100" s="19" t="s">
        <v>36</v>
      </c>
      <c r="H100" s="2">
        <v>1600</v>
      </c>
      <c r="I100" s="2">
        <v>80</v>
      </c>
      <c r="J100" s="2">
        <v>1.6</v>
      </c>
      <c r="K100" s="20">
        <f>Лист2!$C$8-I100</f>
        <v>-80</v>
      </c>
      <c r="L100" s="20">
        <f>H100-Лист2!$C$9</f>
        <v>1600</v>
      </c>
      <c r="M100" s="49" t="s">
        <v>22</v>
      </c>
    </row>
    <row r="101" spans="2:13" x14ac:dyDescent="0.25">
      <c r="B101" s="9">
        <v>99</v>
      </c>
      <c r="C101" s="39" t="s">
        <v>136</v>
      </c>
      <c r="D101" s="39" t="s">
        <v>87</v>
      </c>
      <c r="E101" s="2" t="s">
        <v>94</v>
      </c>
      <c r="F101" s="2">
        <v>150</v>
      </c>
      <c r="G101" s="19" t="s">
        <v>10</v>
      </c>
      <c r="H101" s="2">
        <v>1600</v>
      </c>
      <c r="I101" s="2">
        <v>53</v>
      </c>
      <c r="J101" s="2">
        <v>1.6</v>
      </c>
      <c r="K101" s="20">
        <f>Лист2!$C$8-I101</f>
        <v>-53</v>
      </c>
      <c r="L101" s="20">
        <f>H101-Лист2!$C$9</f>
        <v>1600</v>
      </c>
      <c r="M101" s="49" t="s">
        <v>22</v>
      </c>
    </row>
    <row r="102" spans="2:13" x14ac:dyDescent="0.25">
      <c r="B102" s="9">
        <v>100</v>
      </c>
      <c r="C102" s="39" t="s">
        <v>136</v>
      </c>
      <c r="D102" s="39" t="s">
        <v>87</v>
      </c>
      <c r="E102" s="2" t="s">
        <v>94</v>
      </c>
      <c r="F102" s="2">
        <v>150</v>
      </c>
      <c r="G102" s="19" t="s">
        <v>37</v>
      </c>
      <c r="H102" s="2">
        <v>1600</v>
      </c>
      <c r="I102" s="2">
        <v>40</v>
      </c>
      <c r="J102" s="2">
        <v>1.6</v>
      </c>
      <c r="K102" s="20">
        <f>Лист2!$C$8-I102</f>
        <v>-40</v>
      </c>
      <c r="L102" s="20">
        <f>H102-Лист2!$C$9</f>
        <v>1600</v>
      </c>
      <c r="M102" s="49" t="s">
        <v>192</v>
      </c>
    </row>
    <row r="103" spans="2:13" x14ac:dyDescent="0.25">
      <c r="B103" s="9">
        <v>101</v>
      </c>
      <c r="C103" s="39" t="s">
        <v>136</v>
      </c>
      <c r="D103" s="39" t="s">
        <v>87</v>
      </c>
      <c r="E103" s="2" t="s">
        <v>94</v>
      </c>
      <c r="F103" s="2">
        <v>150</v>
      </c>
      <c r="G103" s="19" t="s">
        <v>11</v>
      </c>
      <c r="H103" s="2">
        <v>1600</v>
      </c>
      <c r="I103" s="2">
        <v>32</v>
      </c>
      <c r="J103" s="2">
        <v>1.6</v>
      </c>
      <c r="K103" s="20">
        <f>Лист2!$C$8-I103</f>
        <v>-32</v>
      </c>
      <c r="L103" s="20">
        <f>H103-Лист2!$C$9</f>
        <v>1600</v>
      </c>
      <c r="M103" s="49" t="s">
        <v>192</v>
      </c>
    </row>
    <row r="104" spans="2:13" x14ac:dyDescent="0.25">
      <c r="B104" s="9">
        <v>102</v>
      </c>
      <c r="C104" s="39" t="s">
        <v>137</v>
      </c>
      <c r="D104" s="39" t="s">
        <v>87</v>
      </c>
      <c r="E104" s="2" t="s">
        <v>93</v>
      </c>
      <c r="F104" s="2">
        <v>200</v>
      </c>
      <c r="G104" s="19" t="s">
        <v>36</v>
      </c>
      <c r="H104" s="2">
        <v>1000</v>
      </c>
      <c r="I104" s="2">
        <v>50</v>
      </c>
      <c r="J104" s="2">
        <v>1.6</v>
      </c>
      <c r="K104" s="20">
        <f>Лист2!$C$8-I104</f>
        <v>-50</v>
      </c>
      <c r="L104" s="20">
        <f>H104-Лист2!$C$9</f>
        <v>1000</v>
      </c>
      <c r="M104" s="49" t="s">
        <v>22</v>
      </c>
    </row>
    <row r="105" spans="2:13" x14ac:dyDescent="0.25">
      <c r="B105" s="9">
        <v>103</v>
      </c>
      <c r="C105" s="39" t="s">
        <v>138</v>
      </c>
      <c r="D105" s="39" t="s">
        <v>87</v>
      </c>
      <c r="E105" s="2" t="s">
        <v>94</v>
      </c>
      <c r="F105" s="2">
        <v>200</v>
      </c>
      <c r="G105" s="19" t="s">
        <v>36</v>
      </c>
      <c r="H105" s="2">
        <v>1600</v>
      </c>
      <c r="I105" s="2">
        <v>80</v>
      </c>
      <c r="J105" s="2">
        <v>1.6</v>
      </c>
      <c r="K105" s="20">
        <f>Лист2!$C$8-I105</f>
        <v>-80</v>
      </c>
      <c r="L105" s="20">
        <f>H105-Лист2!$C$9</f>
        <v>1600</v>
      </c>
      <c r="M105" s="49" t="s">
        <v>22</v>
      </c>
    </row>
    <row r="106" spans="2:13" x14ac:dyDescent="0.25">
      <c r="B106" s="9">
        <v>104</v>
      </c>
      <c r="C106" s="39" t="s">
        <v>138</v>
      </c>
      <c r="D106" s="39" t="s">
        <v>87</v>
      </c>
      <c r="E106" s="2" t="s">
        <v>94</v>
      </c>
      <c r="F106" s="2">
        <v>200</v>
      </c>
      <c r="G106" s="19" t="s">
        <v>10</v>
      </c>
      <c r="H106" s="2">
        <v>1600</v>
      </c>
      <c r="I106" s="2">
        <v>53</v>
      </c>
      <c r="J106" s="2">
        <v>1.6</v>
      </c>
      <c r="K106" s="20">
        <f>Лист2!$C$8-I106</f>
        <v>-53</v>
      </c>
      <c r="L106" s="20">
        <f>H106-Лист2!$C$9</f>
        <v>1600</v>
      </c>
      <c r="M106" s="49" t="s">
        <v>22</v>
      </c>
    </row>
    <row r="107" spans="2:13" x14ac:dyDescent="0.25">
      <c r="B107" s="9">
        <v>105</v>
      </c>
      <c r="C107" s="39" t="s">
        <v>138</v>
      </c>
      <c r="D107" s="39" t="s">
        <v>87</v>
      </c>
      <c r="E107" s="2" t="s">
        <v>94</v>
      </c>
      <c r="F107" s="2">
        <v>200</v>
      </c>
      <c r="G107" s="19" t="s">
        <v>37</v>
      </c>
      <c r="H107" s="2">
        <v>1600</v>
      </c>
      <c r="I107" s="2">
        <v>40</v>
      </c>
      <c r="J107" s="2">
        <v>1.6</v>
      </c>
      <c r="K107" s="20">
        <f>Лист2!$C$8-I107</f>
        <v>-40</v>
      </c>
      <c r="L107" s="20">
        <f>H107-Лист2!$C$9</f>
        <v>1600</v>
      </c>
      <c r="M107" s="49" t="s">
        <v>192</v>
      </c>
    </row>
    <row r="108" spans="2:13" x14ac:dyDescent="0.25">
      <c r="B108" s="9">
        <v>106</v>
      </c>
      <c r="C108" s="39" t="s">
        <v>139</v>
      </c>
      <c r="D108" s="39" t="s">
        <v>87</v>
      </c>
      <c r="E108" s="2" t="s">
        <v>95</v>
      </c>
      <c r="F108" s="2">
        <v>200</v>
      </c>
      <c r="G108" s="19" t="s">
        <v>36</v>
      </c>
      <c r="H108" s="2">
        <v>2500</v>
      </c>
      <c r="I108" s="2">
        <v>125</v>
      </c>
      <c r="J108" s="2">
        <v>1.6</v>
      </c>
      <c r="K108" s="20">
        <f>Лист2!$C$8-I108</f>
        <v>-125</v>
      </c>
      <c r="L108" s="20">
        <f>H108-Лист2!$C$9</f>
        <v>2500</v>
      </c>
      <c r="M108" s="49" t="s">
        <v>22</v>
      </c>
    </row>
    <row r="109" spans="2:13" x14ac:dyDescent="0.25">
      <c r="B109" s="9">
        <v>107</v>
      </c>
      <c r="C109" s="39" t="s">
        <v>139</v>
      </c>
      <c r="D109" s="39" t="s">
        <v>87</v>
      </c>
      <c r="E109" s="2" t="s">
        <v>95</v>
      </c>
      <c r="F109" s="2">
        <v>200</v>
      </c>
      <c r="G109" s="19" t="s">
        <v>10</v>
      </c>
      <c r="H109" s="2">
        <v>2500</v>
      </c>
      <c r="I109" s="2">
        <v>83</v>
      </c>
      <c r="J109" s="2">
        <v>1.6</v>
      </c>
      <c r="K109" s="20">
        <f>Лист2!$C$8-I109</f>
        <v>-83</v>
      </c>
      <c r="L109" s="20">
        <f>H109-Лист2!$C$9</f>
        <v>2500</v>
      </c>
      <c r="M109" s="49" t="s">
        <v>22</v>
      </c>
    </row>
    <row r="110" spans="2:13" x14ac:dyDescent="0.25">
      <c r="B110" s="9">
        <v>108</v>
      </c>
      <c r="C110" s="39" t="s">
        <v>139</v>
      </c>
      <c r="D110" s="39" t="s">
        <v>87</v>
      </c>
      <c r="E110" s="2" t="s">
        <v>95</v>
      </c>
      <c r="F110" s="2">
        <v>200</v>
      </c>
      <c r="G110" s="19" t="s">
        <v>37</v>
      </c>
      <c r="H110" s="2">
        <v>2500</v>
      </c>
      <c r="I110" s="2">
        <v>62.5</v>
      </c>
      <c r="J110" s="2">
        <v>1.6</v>
      </c>
      <c r="K110" s="20">
        <f>Лист2!$C$8-I110</f>
        <v>-62.5</v>
      </c>
      <c r="L110" s="20">
        <f>H110-Лист2!$C$9</f>
        <v>2500</v>
      </c>
      <c r="M110" s="49" t="s">
        <v>192</v>
      </c>
    </row>
    <row r="111" spans="2:13" x14ac:dyDescent="0.25">
      <c r="B111" s="9">
        <v>109</v>
      </c>
      <c r="C111" s="39" t="s">
        <v>139</v>
      </c>
      <c r="D111" s="39" t="s">
        <v>87</v>
      </c>
      <c r="E111" s="2" t="s">
        <v>95</v>
      </c>
      <c r="F111" s="2">
        <v>200</v>
      </c>
      <c r="G111" s="19" t="s">
        <v>11</v>
      </c>
      <c r="H111" s="2">
        <v>2500</v>
      </c>
      <c r="I111" s="2">
        <v>50</v>
      </c>
      <c r="J111" s="2">
        <v>1.6</v>
      </c>
      <c r="K111" s="20">
        <f>Лист2!$C$8-I111</f>
        <v>-50</v>
      </c>
      <c r="L111" s="20">
        <f>H111-Лист2!$C$9</f>
        <v>2500</v>
      </c>
      <c r="M111" s="49" t="s">
        <v>192</v>
      </c>
    </row>
    <row r="112" spans="2:13" x14ac:dyDescent="0.25">
      <c r="B112" s="9">
        <v>110</v>
      </c>
      <c r="C112" s="39" t="s">
        <v>140</v>
      </c>
      <c r="D112" s="39" t="s">
        <v>87</v>
      </c>
      <c r="E112" s="2" t="s">
        <v>94</v>
      </c>
      <c r="F112" s="2">
        <v>250</v>
      </c>
      <c r="G112" s="19" t="s">
        <v>36</v>
      </c>
      <c r="H112" s="2">
        <v>1600</v>
      </c>
      <c r="I112" s="2">
        <v>80</v>
      </c>
      <c r="J112" s="2">
        <v>1.6</v>
      </c>
      <c r="K112" s="20">
        <f>Лист2!$C$8-I112</f>
        <v>-80</v>
      </c>
      <c r="L112" s="20">
        <f>H112-Лист2!$C$9</f>
        <v>1600</v>
      </c>
      <c r="M112" s="49" t="s">
        <v>22</v>
      </c>
    </row>
    <row r="113" spans="1:13" x14ac:dyDescent="0.25">
      <c r="B113" s="9">
        <v>111</v>
      </c>
      <c r="C113" s="39" t="s">
        <v>141</v>
      </c>
      <c r="D113" s="39" t="s">
        <v>87</v>
      </c>
      <c r="E113" s="2" t="s">
        <v>95</v>
      </c>
      <c r="F113" s="2">
        <v>250</v>
      </c>
      <c r="G113" s="19" t="s">
        <v>36</v>
      </c>
      <c r="H113" s="2">
        <v>2500</v>
      </c>
      <c r="I113" s="2">
        <v>125</v>
      </c>
      <c r="J113" s="2">
        <v>1.6</v>
      </c>
      <c r="K113" s="20">
        <f>Лист2!$C$8-I113</f>
        <v>-125</v>
      </c>
      <c r="L113" s="20">
        <f>H113-Лист2!$C$9</f>
        <v>2500</v>
      </c>
      <c r="M113" s="49" t="s">
        <v>22</v>
      </c>
    </row>
    <row r="114" spans="1:13" x14ac:dyDescent="0.25">
      <c r="B114" s="9">
        <v>112</v>
      </c>
      <c r="C114" s="39" t="s">
        <v>141</v>
      </c>
      <c r="D114" s="39" t="s">
        <v>87</v>
      </c>
      <c r="E114" s="2" t="s">
        <v>95</v>
      </c>
      <c r="F114" s="2">
        <v>250</v>
      </c>
      <c r="G114" s="19" t="s">
        <v>10</v>
      </c>
      <c r="H114" s="2">
        <v>2500</v>
      </c>
      <c r="I114" s="2">
        <v>83</v>
      </c>
      <c r="J114" s="2">
        <v>1.6</v>
      </c>
      <c r="K114" s="20">
        <f>Лист2!$C$8-I114</f>
        <v>-83</v>
      </c>
      <c r="L114" s="20">
        <f>H114-Лист2!$C$9</f>
        <v>2500</v>
      </c>
      <c r="M114" s="49" t="s">
        <v>22</v>
      </c>
    </row>
    <row r="115" spans="1:13" x14ac:dyDescent="0.25">
      <c r="B115" s="9">
        <v>113</v>
      </c>
      <c r="C115" s="39" t="s">
        <v>141</v>
      </c>
      <c r="D115" s="39" t="s">
        <v>87</v>
      </c>
      <c r="E115" s="2" t="s">
        <v>95</v>
      </c>
      <c r="F115" s="2">
        <v>250</v>
      </c>
      <c r="G115" s="19" t="s">
        <v>37</v>
      </c>
      <c r="H115" s="2">
        <v>2500</v>
      </c>
      <c r="I115" s="2">
        <v>62.5</v>
      </c>
      <c r="J115" s="2">
        <v>1.6</v>
      </c>
      <c r="K115" s="20">
        <f>Лист2!$C$8-I115</f>
        <v>-62.5</v>
      </c>
      <c r="L115" s="20">
        <f>H115-Лист2!$C$9</f>
        <v>2500</v>
      </c>
      <c r="M115" s="49" t="s">
        <v>192</v>
      </c>
    </row>
    <row r="116" spans="1:13" x14ac:dyDescent="0.25">
      <c r="B116" s="9">
        <v>114</v>
      </c>
      <c r="C116" s="39" t="s">
        <v>142</v>
      </c>
      <c r="D116" s="39" t="s">
        <v>87</v>
      </c>
      <c r="E116" s="2" t="s">
        <v>96</v>
      </c>
      <c r="F116" s="2">
        <v>250</v>
      </c>
      <c r="G116" s="19" t="s">
        <v>36</v>
      </c>
      <c r="H116" s="2">
        <v>4000</v>
      </c>
      <c r="I116" s="2">
        <v>200</v>
      </c>
      <c r="J116" s="2">
        <v>1.6</v>
      </c>
      <c r="K116" s="20">
        <f>Лист2!$C$8-I116</f>
        <v>-200</v>
      </c>
      <c r="L116" s="20">
        <f>H116-Лист2!$C$9</f>
        <v>4000</v>
      </c>
      <c r="M116" s="49" t="s">
        <v>22</v>
      </c>
    </row>
    <row r="117" spans="1:13" x14ac:dyDescent="0.25">
      <c r="B117" s="9">
        <v>115</v>
      </c>
      <c r="C117" s="39" t="s">
        <v>142</v>
      </c>
      <c r="D117" s="39" t="s">
        <v>87</v>
      </c>
      <c r="E117" s="2" t="s">
        <v>96</v>
      </c>
      <c r="F117" s="2">
        <v>250</v>
      </c>
      <c r="G117" s="19" t="s">
        <v>10</v>
      </c>
      <c r="H117" s="2">
        <v>4000</v>
      </c>
      <c r="I117" s="2">
        <v>133</v>
      </c>
      <c r="J117" s="2">
        <v>1.6</v>
      </c>
      <c r="K117" s="20">
        <f>Лист2!$C$8-I117</f>
        <v>-133</v>
      </c>
      <c r="L117" s="20">
        <f>H117-Лист2!$C$9</f>
        <v>4000</v>
      </c>
      <c r="M117" s="49" t="s">
        <v>22</v>
      </c>
    </row>
    <row r="118" spans="1:13" x14ac:dyDescent="0.25">
      <c r="B118" s="9">
        <v>116</v>
      </c>
      <c r="C118" s="39" t="s">
        <v>142</v>
      </c>
      <c r="D118" s="39" t="s">
        <v>87</v>
      </c>
      <c r="E118" s="2" t="s">
        <v>96</v>
      </c>
      <c r="F118" s="2">
        <v>250</v>
      </c>
      <c r="G118" s="19" t="s">
        <v>37</v>
      </c>
      <c r="H118" s="2">
        <v>4000</v>
      </c>
      <c r="I118" s="2">
        <v>100</v>
      </c>
      <c r="J118" s="2">
        <v>1.6</v>
      </c>
      <c r="K118" s="20">
        <f>Лист2!$C$8-I118</f>
        <v>-100</v>
      </c>
      <c r="L118" s="20">
        <f>H118-Лист2!$C$9</f>
        <v>4000</v>
      </c>
      <c r="M118" s="49" t="s">
        <v>192</v>
      </c>
    </row>
    <row r="119" spans="1:13" x14ac:dyDescent="0.25">
      <c r="B119" s="9">
        <v>117</v>
      </c>
      <c r="C119" s="39" t="s">
        <v>142</v>
      </c>
      <c r="D119" s="39" t="s">
        <v>87</v>
      </c>
      <c r="E119" s="2" t="s">
        <v>96</v>
      </c>
      <c r="F119" s="2">
        <v>250</v>
      </c>
      <c r="G119" s="19" t="s">
        <v>11</v>
      </c>
      <c r="H119" s="2">
        <v>4000</v>
      </c>
      <c r="I119" s="2">
        <v>80</v>
      </c>
      <c r="J119" s="2">
        <v>1.6</v>
      </c>
      <c r="K119" s="20">
        <f>Лист2!$C$8-I119</f>
        <v>-80</v>
      </c>
      <c r="L119" s="20">
        <f>H119-Лист2!$C$9</f>
        <v>4000</v>
      </c>
      <c r="M119" s="49" t="s">
        <v>192</v>
      </c>
    </row>
    <row r="120" spans="1:13" x14ac:dyDescent="0.25">
      <c r="B120" s="9">
        <v>118</v>
      </c>
      <c r="C120" s="39" t="s">
        <v>143</v>
      </c>
      <c r="D120" s="39" t="s">
        <v>87</v>
      </c>
      <c r="E120" s="2" t="s">
        <v>95</v>
      </c>
      <c r="F120" s="2">
        <v>300</v>
      </c>
      <c r="G120" s="19" t="s">
        <v>36</v>
      </c>
      <c r="H120" s="2">
        <v>2500</v>
      </c>
      <c r="I120" s="2">
        <v>125</v>
      </c>
      <c r="J120" s="2">
        <v>1.6</v>
      </c>
      <c r="K120" s="20">
        <f>Лист2!$C$8-I120</f>
        <v>-125</v>
      </c>
      <c r="L120" s="20">
        <f>H120-Лист2!$C$9</f>
        <v>2500</v>
      </c>
      <c r="M120" s="49" t="s">
        <v>22</v>
      </c>
    </row>
    <row r="121" spans="1:13" x14ac:dyDescent="0.25">
      <c r="B121" s="9">
        <v>119</v>
      </c>
      <c r="C121" s="39" t="s">
        <v>144</v>
      </c>
      <c r="D121" s="39" t="s">
        <v>87</v>
      </c>
      <c r="E121" s="2" t="s">
        <v>96</v>
      </c>
      <c r="F121" s="2">
        <v>300</v>
      </c>
      <c r="G121" s="19" t="s">
        <v>36</v>
      </c>
      <c r="H121" s="2">
        <v>4000</v>
      </c>
      <c r="I121" s="2">
        <v>200</v>
      </c>
      <c r="J121" s="2">
        <v>1.6</v>
      </c>
      <c r="K121" s="20">
        <f>Лист2!$C$8-I121</f>
        <v>-200</v>
      </c>
      <c r="L121" s="20">
        <f>H121-Лист2!$C$9</f>
        <v>4000</v>
      </c>
      <c r="M121" s="49" t="s">
        <v>22</v>
      </c>
    </row>
    <row r="122" spans="1:13" x14ac:dyDescent="0.25">
      <c r="B122" s="9">
        <v>120</v>
      </c>
      <c r="C122" s="39" t="s">
        <v>144</v>
      </c>
      <c r="D122" s="39" t="s">
        <v>87</v>
      </c>
      <c r="E122" s="2" t="s">
        <v>96</v>
      </c>
      <c r="F122" s="2">
        <v>300</v>
      </c>
      <c r="G122" s="19" t="s">
        <v>10</v>
      </c>
      <c r="H122" s="2">
        <v>4000</v>
      </c>
      <c r="I122" s="2">
        <v>133</v>
      </c>
      <c r="J122" s="2">
        <v>1.6</v>
      </c>
      <c r="K122" s="20">
        <f>Лист2!$C$8-I122</f>
        <v>-133</v>
      </c>
      <c r="L122" s="20">
        <f>H122-Лист2!$C$9</f>
        <v>4000</v>
      </c>
      <c r="M122" s="49" t="s">
        <v>22</v>
      </c>
    </row>
    <row r="123" spans="1:13" x14ac:dyDescent="0.25">
      <c r="B123" s="9">
        <v>121</v>
      </c>
      <c r="C123" s="39" t="s">
        <v>144</v>
      </c>
      <c r="D123" s="39" t="s">
        <v>87</v>
      </c>
      <c r="E123" s="2" t="s">
        <v>96</v>
      </c>
      <c r="F123" s="2">
        <v>300</v>
      </c>
      <c r="G123" s="19" t="s">
        <v>37</v>
      </c>
      <c r="H123" s="2">
        <v>4000</v>
      </c>
      <c r="I123" s="2">
        <v>100</v>
      </c>
      <c r="J123" s="2">
        <v>1.6</v>
      </c>
      <c r="K123" s="20">
        <f>Лист2!$C$8-I123</f>
        <v>-100</v>
      </c>
      <c r="L123" s="20">
        <f>H123-Лист2!$C$9</f>
        <v>4000</v>
      </c>
      <c r="M123" s="49" t="s">
        <v>192</v>
      </c>
    </row>
    <row r="124" spans="1:13" x14ac:dyDescent="0.25">
      <c r="B124" s="9">
        <v>122</v>
      </c>
      <c r="C124" s="39" t="s">
        <v>145</v>
      </c>
      <c r="D124" s="39" t="s">
        <v>87</v>
      </c>
      <c r="E124" s="2" t="s">
        <v>97</v>
      </c>
      <c r="F124" s="2">
        <v>300</v>
      </c>
      <c r="G124" s="19" t="s">
        <v>36</v>
      </c>
      <c r="H124" s="2">
        <v>6500</v>
      </c>
      <c r="I124" s="2">
        <v>325</v>
      </c>
      <c r="J124" s="2">
        <v>1.6</v>
      </c>
      <c r="K124" s="20">
        <f>Лист2!$C$8-I124</f>
        <v>-325</v>
      </c>
      <c r="L124" s="20">
        <f>H124-Лист2!$C$9</f>
        <v>6500</v>
      </c>
      <c r="M124" s="49" t="s">
        <v>22</v>
      </c>
    </row>
    <row r="125" spans="1:13" x14ac:dyDescent="0.25">
      <c r="B125" s="9">
        <v>123</v>
      </c>
      <c r="C125" s="39" t="s">
        <v>145</v>
      </c>
      <c r="D125" s="39" t="s">
        <v>87</v>
      </c>
      <c r="E125" s="2" t="s">
        <v>97</v>
      </c>
      <c r="F125" s="2">
        <v>300</v>
      </c>
      <c r="G125" s="19" t="s">
        <v>10</v>
      </c>
      <c r="H125" s="2">
        <v>6500</v>
      </c>
      <c r="I125" s="2">
        <v>216.5</v>
      </c>
      <c r="J125" s="2">
        <v>1.6</v>
      </c>
      <c r="K125" s="20">
        <f>Лист2!$C$8-I125</f>
        <v>-216.5</v>
      </c>
      <c r="L125" s="20">
        <f>H125-Лист2!$C$9</f>
        <v>6500</v>
      </c>
      <c r="M125" s="49" t="s">
        <v>22</v>
      </c>
    </row>
    <row r="126" spans="1:13" x14ac:dyDescent="0.25">
      <c r="B126" s="9">
        <v>124</v>
      </c>
      <c r="C126" s="39" t="s">
        <v>145</v>
      </c>
      <c r="D126" s="39" t="s">
        <v>87</v>
      </c>
      <c r="E126" s="2" t="s">
        <v>97</v>
      </c>
      <c r="F126" s="2">
        <v>300</v>
      </c>
      <c r="G126" s="19" t="s">
        <v>37</v>
      </c>
      <c r="H126" s="2">
        <v>6500</v>
      </c>
      <c r="I126" s="2">
        <v>162.5</v>
      </c>
      <c r="J126" s="2">
        <v>1.6</v>
      </c>
      <c r="K126" s="20">
        <f>Лист2!$C$8-I126</f>
        <v>-162.5</v>
      </c>
      <c r="L126" s="20">
        <f>H126-Лист2!$C$9</f>
        <v>6500</v>
      </c>
      <c r="M126" s="49" t="s">
        <v>192</v>
      </c>
    </row>
    <row r="127" spans="1:13" x14ac:dyDescent="0.25">
      <c r="B127" s="23">
        <v>125</v>
      </c>
      <c r="C127" s="38" t="s">
        <v>145</v>
      </c>
      <c r="D127" s="38" t="s">
        <v>87</v>
      </c>
      <c r="E127" s="27" t="s">
        <v>97</v>
      </c>
      <c r="F127" s="27">
        <v>300</v>
      </c>
      <c r="G127" s="25" t="s">
        <v>11</v>
      </c>
      <c r="H127" s="27">
        <v>6500</v>
      </c>
      <c r="I127" s="27">
        <v>130</v>
      </c>
      <c r="J127" s="27">
        <v>1.6</v>
      </c>
      <c r="K127" s="26">
        <f>Лист2!$C$8-I127</f>
        <v>-130</v>
      </c>
      <c r="L127" s="26">
        <f>H127-Лист2!$C$9</f>
        <v>6500</v>
      </c>
      <c r="M127" s="48" t="s">
        <v>192</v>
      </c>
    </row>
    <row r="128" spans="1:13" x14ac:dyDescent="0.25">
      <c r="A128" t="s">
        <v>51</v>
      </c>
      <c r="B128" s="9">
        <v>126</v>
      </c>
      <c r="C128" s="39" t="s">
        <v>146</v>
      </c>
      <c r="D128" s="39" t="s">
        <v>87</v>
      </c>
      <c r="E128" s="2" t="s">
        <v>98</v>
      </c>
      <c r="F128" s="2">
        <v>50</v>
      </c>
      <c r="G128" s="19" t="s">
        <v>36</v>
      </c>
      <c r="H128" s="2">
        <v>100</v>
      </c>
      <c r="I128" s="2">
        <v>5</v>
      </c>
      <c r="J128" s="2">
        <v>10</v>
      </c>
      <c r="K128" s="20">
        <f>Лист2!$C$8-I128</f>
        <v>-5</v>
      </c>
      <c r="L128" s="20">
        <f>H128-Лист2!$C$9</f>
        <v>100</v>
      </c>
      <c r="M128" s="49" t="s">
        <v>192</v>
      </c>
    </row>
    <row r="129" spans="2:13" x14ac:dyDescent="0.25">
      <c r="B129" s="9">
        <v>127</v>
      </c>
      <c r="C129" s="39" t="s">
        <v>147</v>
      </c>
      <c r="D129" s="39" t="s">
        <v>87</v>
      </c>
      <c r="E129" s="2" t="s">
        <v>99</v>
      </c>
      <c r="F129" s="2">
        <v>80</v>
      </c>
      <c r="G129" s="19" t="s">
        <v>36</v>
      </c>
      <c r="H129" s="2">
        <v>160</v>
      </c>
      <c r="I129" s="2">
        <v>8</v>
      </c>
      <c r="J129" s="2">
        <v>10</v>
      </c>
      <c r="K129" s="20">
        <f>Лист2!$C$8-I129</f>
        <v>-8</v>
      </c>
      <c r="L129" s="20">
        <f>H129-Лист2!$C$9</f>
        <v>160</v>
      </c>
      <c r="M129" s="49" t="s">
        <v>192</v>
      </c>
    </row>
    <row r="130" spans="2:13" x14ac:dyDescent="0.25">
      <c r="B130" s="9">
        <v>128</v>
      </c>
      <c r="C130" s="39" t="s">
        <v>148</v>
      </c>
      <c r="D130" s="39" t="s">
        <v>87</v>
      </c>
      <c r="E130" s="2" t="s">
        <v>100</v>
      </c>
      <c r="F130" s="2">
        <v>80</v>
      </c>
      <c r="G130" s="19" t="s">
        <v>36</v>
      </c>
      <c r="H130" s="2">
        <v>250</v>
      </c>
      <c r="I130" s="2">
        <v>12.5</v>
      </c>
      <c r="J130" s="2">
        <v>10</v>
      </c>
      <c r="K130" s="20">
        <f>Лист2!$C$8-I130</f>
        <v>-12.5</v>
      </c>
      <c r="L130" s="20">
        <f>H130-Лист2!$C$9</f>
        <v>250</v>
      </c>
      <c r="M130" s="49" t="s">
        <v>192</v>
      </c>
    </row>
    <row r="131" spans="2:13" x14ac:dyDescent="0.25">
      <c r="B131" s="9">
        <v>129</v>
      </c>
      <c r="C131" s="39" t="s">
        <v>149</v>
      </c>
      <c r="D131" s="39" t="s">
        <v>87</v>
      </c>
      <c r="E131" s="2" t="s">
        <v>101</v>
      </c>
      <c r="F131" s="2">
        <v>80</v>
      </c>
      <c r="G131" s="19" t="s">
        <v>36</v>
      </c>
      <c r="H131" s="2">
        <v>400</v>
      </c>
      <c r="I131" s="2">
        <v>20</v>
      </c>
      <c r="J131" s="2">
        <v>10</v>
      </c>
      <c r="K131" s="20">
        <f>Лист2!$C$8-I131</f>
        <v>-20</v>
      </c>
      <c r="L131" s="20">
        <f>H131-Лист2!$C$9</f>
        <v>400</v>
      </c>
      <c r="M131" s="49" t="s">
        <v>192</v>
      </c>
    </row>
    <row r="132" spans="2:13" x14ac:dyDescent="0.25">
      <c r="B132" s="9">
        <v>130</v>
      </c>
      <c r="C132" s="39" t="s">
        <v>149</v>
      </c>
      <c r="D132" s="39" t="s">
        <v>87</v>
      </c>
      <c r="E132" s="2" t="s">
        <v>101</v>
      </c>
      <c r="F132" s="2">
        <v>80</v>
      </c>
      <c r="G132" s="19" t="s">
        <v>10</v>
      </c>
      <c r="H132" s="2">
        <v>400</v>
      </c>
      <c r="I132" s="2">
        <v>13</v>
      </c>
      <c r="J132" s="2">
        <v>10</v>
      </c>
      <c r="K132" s="20">
        <f>Лист2!$C$8-I132</f>
        <v>-13</v>
      </c>
      <c r="L132" s="20">
        <f>H132-Лист2!$C$9</f>
        <v>400</v>
      </c>
      <c r="M132" s="49" t="s">
        <v>192</v>
      </c>
    </row>
    <row r="133" spans="2:13" x14ac:dyDescent="0.25">
      <c r="B133" s="9">
        <v>131</v>
      </c>
      <c r="C133" s="39" t="s">
        <v>149</v>
      </c>
      <c r="D133" s="39" t="s">
        <v>87</v>
      </c>
      <c r="E133" s="2" t="s">
        <v>101</v>
      </c>
      <c r="F133" s="2">
        <v>80</v>
      </c>
      <c r="G133" s="19" t="s">
        <v>37</v>
      </c>
      <c r="H133" s="2">
        <v>400</v>
      </c>
      <c r="I133" s="2">
        <v>10</v>
      </c>
      <c r="J133" s="2">
        <v>10</v>
      </c>
      <c r="K133" s="20">
        <f>Лист2!$C$8-I133</f>
        <v>-10</v>
      </c>
      <c r="L133" s="20">
        <f>H133-Лист2!$C$9</f>
        <v>400</v>
      </c>
      <c r="M133" s="49" t="s">
        <v>192</v>
      </c>
    </row>
    <row r="134" spans="2:13" x14ac:dyDescent="0.25">
      <c r="B134" s="9">
        <v>132</v>
      </c>
      <c r="C134" s="39" t="s">
        <v>149</v>
      </c>
      <c r="D134" s="39" t="s">
        <v>87</v>
      </c>
      <c r="E134" s="2" t="s">
        <v>101</v>
      </c>
      <c r="F134" s="2">
        <v>80</v>
      </c>
      <c r="G134" s="19" t="s">
        <v>11</v>
      </c>
      <c r="H134" s="2">
        <v>400</v>
      </c>
      <c r="I134" s="2">
        <v>8</v>
      </c>
      <c r="J134" s="2">
        <v>10</v>
      </c>
      <c r="K134" s="20">
        <f>Лист2!$C$8-I134</f>
        <v>-8</v>
      </c>
      <c r="L134" s="20">
        <f>H134-Лист2!$C$9</f>
        <v>400</v>
      </c>
      <c r="M134" s="49" t="s">
        <v>192</v>
      </c>
    </row>
    <row r="135" spans="2:13" x14ac:dyDescent="0.25">
      <c r="B135" s="9">
        <v>133</v>
      </c>
      <c r="C135" s="39" t="s">
        <v>150</v>
      </c>
      <c r="D135" s="39" t="s">
        <v>87</v>
      </c>
      <c r="E135" s="2" t="s">
        <v>100</v>
      </c>
      <c r="F135" s="2">
        <v>100</v>
      </c>
      <c r="G135" s="19" t="s">
        <v>36</v>
      </c>
      <c r="H135" s="2">
        <v>250</v>
      </c>
      <c r="I135" s="2">
        <v>12.5</v>
      </c>
      <c r="J135" s="2">
        <v>10</v>
      </c>
      <c r="K135" s="20">
        <f>Лист2!$C$8-I135</f>
        <v>-12.5</v>
      </c>
      <c r="L135" s="20">
        <f>H135-Лист2!$C$9</f>
        <v>250</v>
      </c>
      <c r="M135" s="49" t="s">
        <v>192</v>
      </c>
    </row>
    <row r="136" spans="2:13" x14ac:dyDescent="0.25">
      <c r="B136" s="9">
        <v>134</v>
      </c>
      <c r="C136" s="39" t="s">
        <v>151</v>
      </c>
      <c r="D136" s="39" t="s">
        <v>87</v>
      </c>
      <c r="E136" s="2" t="s">
        <v>101</v>
      </c>
      <c r="F136" s="2">
        <v>100</v>
      </c>
      <c r="G136" s="19" t="s">
        <v>36</v>
      </c>
      <c r="H136" s="2">
        <v>400</v>
      </c>
      <c r="I136" s="2">
        <v>20</v>
      </c>
      <c r="J136" s="2">
        <v>10</v>
      </c>
      <c r="K136" s="20">
        <f>Лист2!$C$8-I136</f>
        <v>-20</v>
      </c>
      <c r="L136" s="20">
        <f>H136-Лист2!$C$9</f>
        <v>400</v>
      </c>
      <c r="M136" s="49" t="s">
        <v>192</v>
      </c>
    </row>
    <row r="137" spans="2:13" x14ac:dyDescent="0.25">
      <c r="B137" s="9">
        <v>135</v>
      </c>
      <c r="C137" s="39" t="s">
        <v>151</v>
      </c>
      <c r="D137" s="39" t="s">
        <v>87</v>
      </c>
      <c r="E137" s="2" t="s">
        <v>101</v>
      </c>
      <c r="F137" s="2">
        <v>100</v>
      </c>
      <c r="G137" s="19" t="s">
        <v>10</v>
      </c>
      <c r="H137" s="2">
        <v>400</v>
      </c>
      <c r="I137" s="2">
        <v>13</v>
      </c>
      <c r="J137" s="2">
        <v>10</v>
      </c>
      <c r="K137" s="20">
        <f>Лист2!$C$8-I137</f>
        <v>-13</v>
      </c>
      <c r="L137" s="20">
        <f>H137-Лист2!$C$9</f>
        <v>400</v>
      </c>
      <c r="M137" s="49" t="s">
        <v>192</v>
      </c>
    </row>
    <row r="138" spans="2:13" x14ac:dyDescent="0.25">
      <c r="B138" s="9">
        <v>136</v>
      </c>
      <c r="C138" s="39" t="s">
        <v>151</v>
      </c>
      <c r="D138" s="39" t="s">
        <v>87</v>
      </c>
      <c r="E138" s="2" t="s">
        <v>101</v>
      </c>
      <c r="F138" s="2">
        <v>100</v>
      </c>
      <c r="G138" s="19" t="s">
        <v>37</v>
      </c>
      <c r="H138" s="2">
        <v>400</v>
      </c>
      <c r="I138" s="2">
        <v>10</v>
      </c>
      <c r="J138" s="2">
        <v>10</v>
      </c>
      <c r="K138" s="20">
        <f>Лист2!$C$8-I138</f>
        <v>-10</v>
      </c>
      <c r="L138" s="20">
        <f>H138-Лист2!$C$9</f>
        <v>400</v>
      </c>
      <c r="M138" s="49" t="s">
        <v>192</v>
      </c>
    </row>
    <row r="139" spans="2:13" x14ac:dyDescent="0.25">
      <c r="B139" s="9">
        <v>137</v>
      </c>
      <c r="C139" s="39" t="s">
        <v>152</v>
      </c>
      <c r="D139" s="39" t="s">
        <v>87</v>
      </c>
      <c r="E139" s="2" t="s">
        <v>102</v>
      </c>
      <c r="F139" s="2">
        <v>100</v>
      </c>
      <c r="G139" s="19" t="s">
        <v>36</v>
      </c>
      <c r="H139" s="2">
        <v>650</v>
      </c>
      <c r="I139" s="2">
        <v>32.5</v>
      </c>
      <c r="J139" s="2">
        <v>10</v>
      </c>
      <c r="K139" s="20">
        <f>Лист2!$C$8-I139</f>
        <v>-32.5</v>
      </c>
      <c r="L139" s="20">
        <f>H139-Лист2!$C$9</f>
        <v>650</v>
      </c>
      <c r="M139" s="49" t="s">
        <v>192</v>
      </c>
    </row>
    <row r="140" spans="2:13" x14ac:dyDescent="0.25">
      <c r="B140" s="9">
        <v>138</v>
      </c>
      <c r="C140" s="39" t="s">
        <v>152</v>
      </c>
      <c r="D140" s="39" t="s">
        <v>87</v>
      </c>
      <c r="E140" s="2" t="s">
        <v>102</v>
      </c>
      <c r="F140" s="2">
        <v>100</v>
      </c>
      <c r="G140" s="19" t="s">
        <v>10</v>
      </c>
      <c r="H140" s="2">
        <v>650</v>
      </c>
      <c r="I140" s="2">
        <v>21.5</v>
      </c>
      <c r="J140" s="2">
        <v>10</v>
      </c>
      <c r="K140" s="20">
        <f>Лист2!$C$8-I140</f>
        <v>-21.5</v>
      </c>
      <c r="L140" s="20">
        <f>H140-Лист2!$C$9</f>
        <v>650</v>
      </c>
      <c r="M140" s="49" t="s">
        <v>192</v>
      </c>
    </row>
    <row r="141" spans="2:13" x14ac:dyDescent="0.25">
      <c r="B141" s="9">
        <v>139</v>
      </c>
      <c r="C141" s="39" t="s">
        <v>152</v>
      </c>
      <c r="D141" s="39" t="s">
        <v>87</v>
      </c>
      <c r="E141" s="2" t="s">
        <v>102</v>
      </c>
      <c r="F141" s="2">
        <v>100</v>
      </c>
      <c r="G141" s="19" t="s">
        <v>37</v>
      </c>
      <c r="H141" s="2">
        <v>650</v>
      </c>
      <c r="I141" s="2">
        <v>16</v>
      </c>
      <c r="J141" s="2">
        <v>10</v>
      </c>
      <c r="K141" s="20">
        <f>Лист2!$C$8-I141</f>
        <v>-16</v>
      </c>
      <c r="L141" s="20">
        <f>H141-Лист2!$C$9</f>
        <v>650</v>
      </c>
      <c r="M141" s="49" t="s">
        <v>192</v>
      </c>
    </row>
    <row r="142" spans="2:13" x14ac:dyDescent="0.25">
      <c r="B142" s="9">
        <v>140</v>
      </c>
      <c r="C142" s="39" t="s">
        <v>152</v>
      </c>
      <c r="D142" s="39" t="s">
        <v>87</v>
      </c>
      <c r="E142" s="2" t="s">
        <v>102</v>
      </c>
      <c r="F142" s="2">
        <v>100</v>
      </c>
      <c r="G142" s="19" t="s">
        <v>11</v>
      </c>
      <c r="H142" s="2">
        <v>650</v>
      </c>
      <c r="I142" s="2">
        <v>13</v>
      </c>
      <c r="J142" s="2">
        <v>10</v>
      </c>
      <c r="K142" s="20">
        <f>Лист2!$C$8-I142</f>
        <v>-13</v>
      </c>
      <c r="L142" s="20">
        <f>H142-Лист2!$C$9</f>
        <v>650</v>
      </c>
      <c r="M142" s="49" t="s">
        <v>192</v>
      </c>
    </row>
    <row r="143" spans="2:13" x14ac:dyDescent="0.25">
      <c r="B143" s="9">
        <v>141</v>
      </c>
      <c r="C143" s="39" t="s">
        <v>152</v>
      </c>
      <c r="D143" s="39" t="s">
        <v>87</v>
      </c>
      <c r="E143" s="2" t="s">
        <v>102</v>
      </c>
      <c r="F143" s="2">
        <v>150</v>
      </c>
      <c r="G143" s="19" t="s">
        <v>36</v>
      </c>
      <c r="H143" s="2">
        <v>650</v>
      </c>
      <c r="I143" s="2">
        <v>32.5</v>
      </c>
      <c r="J143" s="2">
        <v>10</v>
      </c>
      <c r="K143" s="20">
        <f>Лист2!$C$8-I143</f>
        <v>-32.5</v>
      </c>
      <c r="L143" s="20">
        <f>H143-Лист2!$C$9</f>
        <v>650</v>
      </c>
      <c r="M143" s="49" t="s">
        <v>192</v>
      </c>
    </row>
    <row r="144" spans="2:13" x14ac:dyDescent="0.25">
      <c r="B144" s="9">
        <v>142</v>
      </c>
      <c r="C144" s="39" t="s">
        <v>153</v>
      </c>
      <c r="D144" s="39" t="s">
        <v>87</v>
      </c>
      <c r="E144" s="2" t="s">
        <v>103</v>
      </c>
      <c r="F144" s="2">
        <v>150</v>
      </c>
      <c r="G144" s="19" t="s">
        <v>36</v>
      </c>
      <c r="H144" s="2">
        <v>1000</v>
      </c>
      <c r="I144" s="2">
        <v>50</v>
      </c>
      <c r="J144" s="2">
        <v>10</v>
      </c>
      <c r="K144" s="20">
        <f>Лист2!$C$8-I144</f>
        <v>-50</v>
      </c>
      <c r="L144" s="20">
        <f>H144-Лист2!$C$9</f>
        <v>1000</v>
      </c>
      <c r="M144" s="49" t="s">
        <v>192</v>
      </c>
    </row>
    <row r="145" spans="1:13" x14ac:dyDescent="0.25">
      <c r="B145" s="9">
        <v>143</v>
      </c>
      <c r="C145" s="39" t="s">
        <v>153</v>
      </c>
      <c r="D145" s="39" t="s">
        <v>87</v>
      </c>
      <c r="E145" s="2" t="s">
        <v>103</v>
      </c>
      <c r="F145" s="2">
        <v>150</v>
      </c>
      <c r="G145" s="19" t="s">
        <v>10</v>
      </c>
      <c r="H145" s="2">
        <v>1000</v>
      </c>
      <c r="I145" s="2">
        <v>33</v>
      </c>
      <c r="J145" s="2">
        <v>10</v>
      </c>
      <c r="K145" s="20">
        <f>Лист2!$C$8-I145</f>
        <v>-33</v>
      </c>
      <c r="L145" s="20">
        <f>H145-Лист2!$C$9</f>
        <v>1000</v>
      </c>
      <c r="M145" s="49" t="s">
        <v>192</v>
      </c>
    </row>
    <row r="146" spans="1:13" x14ac:dyDescent="0.25">
      <c r="B146" s="9">
        <v>144</v>
      </c>
      <c r="C146" s="39" t="s">
        <v>153</v>
      </c>
      <c r="D146" s="39" t="s">
        <v>87</v>
      </c>
      <c r="E146" s="2" t="s">
        <v>103</v>
      </c>
      <c r="F146" s="2">
        <v>150</v>
      </c>
      <c r="G146" s="19" t="s">
        <v>37</v>
      </c>
      <c r="H146" s="2">
        <v>1000</v>
      </c>
      <c r="I146" s="2">
        <v>25</v>
      </c>
      <c r="J146" s="2">
        <v>10</v>
      </c>
      <c r="K146" s="20">
        <f>Лист2!$C$8-I146</f>
        <v>-25</v>
      </c>
      <c r="L146" s="20">
        <f>H146-Лист2!$C$9</f>
        <v>1000</v>
      </c>
      <c r="M146" s="49" t="s">
        <v>192</v>
      </c>
    </row>
    <row r="147" spans="1:13" x14ac:dyDescent="0.25">
      <c r="B147" s="9">
        <v>145</v>
      </c>
      <c r="C147" s="39" t="s">
        <v>154</v>
      </c>
      <c r="D147" s="39" t="s">
        <v>87</v>
      </c>
      <c r="E147" s="2" t="s">
        <v>104</v>
      </c>
      <c r="F147" s="2">
        <v>150</v>
      </c>
      <c r="G147" s="19" t="s">
        <v>36</v>
      </c>
      <c r="H147" s="2">
        <v>1600</v>
      </c>
      <c r="I147" s="2">
        <v>80</v>
      </c>
      <c r="J147" s="2">
        <v>10</v>
      </c>
      <c r="K147" s="20">
        <f>Лист2!$C$8-I147</f>
        <v>-80</v>
      </c>
      <c r="L147" s="20">
        <f>H147-Лист2!$C$9</f>
        <v>1600</v>
      </c>
      <c r="M147" s="49" t="s">
        <v>192</v>
      </c>
    </row>
    <row r="148" spans="1:13" x14ac:dyDescent="0.25">
      <c r="B148" s="9">
        <v>146</v>
      </c>
      <c r="C148" s="39" t="s">
        <v>154</v>
      </c>
      <c r="D148" s="39" t="s">
        <v>87</v>
      </c>
      <c r="E148" s="2" t="s">
        <v>104</v>
      </c>
      <c r="F148" s="2">
        <v>150</v>
      </c>
      <c r="G148" s="19" t="s">
        <v>10</v>
      </c>
      <c r="H148" s="2">
        <v>1600</v>
      </c>
      <c r="I148" s="2">
        <v>53</v>
      </c>
      <c r="J148" s="2">
        <v>10</v>
      </c>
      <c r="K148" s="20">
        <f>Лист2!$C$8-I148</f>
        <v>-53</v>
      </c>
      <c r="L148" s="20">
        <f>H148-Лист2!$C$9</f>
        <v>1600</v>
      </c>
      <c r="M148" s="49" t="s">
        <v>192</v>
      </c>
    </row>
    <row r="149" spans="1:13" x14ac:dyDescent="0.25">
      <c r="B149" s="9">
        <v>147</v>
      </c>
      <c r="C149" s="39" t="s">
        <v>154</v>
      </c>
      <c r="D149" s="39" t="s">
        <v>87</v>
      </c>
      <c r="E149" s="2" t="s">
        <v>104</v>
      </c>
      <c r="F149" s="2">
        <v>150</v>
      </c>
      <c r="G149" s="19" t="s">
        <v>37</v>
      </c>
      <c r="H149" s="2">
        <v>1600</v>
      </c>
      <c r="I149" s="2">
        <v>40</v>
      </c>
      <c r="J149" s="2">
        <v>10</v>
      </c>
      <c r="K149" s="20">
        <f>Лист2!$C$8-I149</f>
        <v>-40</v>
      </c>
      <c r="L149" s="20">
        <f>H149-Лист2!$C$9</f>
        <v>1600</v>
      </c>
      <c r="M149" s="49" t="s">
        <v>192</v>
      </c>
    </row>
    <row r="150" spans="1:13" x14ac:dyDescent="0.25">
      <c r="B150" s="23">
        <v>148</v>
      </c>
      <c r="C150" s="38" t="s">
        <v>154</v>
      </c>
      <c r="D150" s="38" t="s">
        <v>87</v>
      </c>
      <c r="E150" s="27" t="s">
        <v>104</v>
      </c>
      <c r="F150" s="27">
        <v>150</v>
      </c>
      <c r="G150" s="25" t="s">
        <v>11</v>
      </c>
      <c r="H150" s="27">
        <v>1600</v>
      </c>
      <c r="I150" s="27">
        <v>32</v>
      </c>
      <c r="J150" s="27">
        <v>10</v>
      </c>
      <c r="K150" s="26">
        <f>Лист2!$C$8-I150</f>
        <v>-32</v>
      </c>
      <c r="L150" s="26">
        <f>H150-Лист2!$C$9</f>
        <v>1600</v>
      </c>
      <c r="M150" s="48" t="s">
        <v>192</v>
      </c>
    </row>
    <row r="151" spans="1:13" x14ac:dyDescent="0.25">
      <c r="A151" t="s">
        <v>178</v>
      </c>
      <c r="B151" s="9">
        <v>149</v>
      </c>
      <c r="C151" s="39" t="s">
        <v>155</v>
      </c>
      <c r="D151" s="39" t="s">
        <v>87</v>
      </c>
      <c r="E151" s="41" t="s">
        <v>88</v>
      </c>
      <c r="F151" s="2">
        <v>50</v>
      </c>
      <c r="G151" s="19" t="s">
        <v>157</v>
      </c>
      <c r="H151" s="2">
        <v>100</v>
      </c>
      <c r="I151" s="2">
        <v>10</v>
      </c>
      <c r="J151" s="2">
        <v>1.6</v>
      </c>
      <c r="K151" s="20">
        <f>Лист2!$C$8-I151</f>
        <v>-10</v>
      </c>
      <c r="L151" s="20">
        <f>H151-Лист2!$C$9</f>
        <v>100</v>
      </c>
      <c r="M151" s="49" t="s">
        <v>192</v>
      </c>
    </row>
    <row r="152" spans="1:13" x14ac:dyDescent="0.25">
      <c r="B152" s="9">
        <v>150</v>
      </c>
      <c r="C152" s="39" t="s">
        <v>156</v>
      </c>
      <c r="D152" s="39" t="s">
        <v>87</v>
      </c>
      <c r="E152" s="41" t="s">
        <v>88</v>
      </c>
      <c r="F152" s="2">
        <v>50</v>
      </c>
      <c r="G152" s="19" t="s">
        <v>48</v>
      </c>
      <c r="H152" s="2">
        <v>100</v>
      </c>
      <c r="I152" s="2">
        <v>8</v>
      </c>
      <c r="J152" s="2">
        <v>1.6</v>
      </c>
      <c r="K152" s="20">
        <f>Лист2!$C$8-I152</f>
        <v>-8</v>
      </c>
      <c r="L152" s="20">
        <f>H152-Лист2!$C$9</f>
        <v>100</v>
      </c>
      <c r="M152" s="49" t="s">
        <v>192</v>
      </c>
    </row>
    <row r="153" spans="1:13" x14ac:dyDescent="0.25">
      <c r="B153" s="9">
        <v>151</v>
      </c>
      <c r="C153" s="39" t="s">
        <v>158</v>
      </c>
      <c r="D153" s="39" t="s">
        <v>87</v>
      </c>
      <c r="E153" s="41" t="s">
        <v>90</v>
      </c>
      <c r="F153" s="2">
        <v>80</v>
      </c>
      <c r="G153" s="19" t="s">
        <v>36</v>
      </c>
      <c r="H153" s="2">
        <v>250</v>
      </c>
      <c r="I153" s="2">
        <v>12.5</v>
      </c>
      <c r="J153" s="2">
        <v>1.6</v>
      </c>
      <c r="K153" s="20">
        <f>Лист2!$C$8-I153</f>
        <v>-12.5</v>
      </c>
      <c r="L153" s="20">
        <f>H153-Лист2!$C$9</f>
        <v>250</v>
      </c>
      <c r="M153" s="49" t="s">
        <v>192</v>
      </c>
    </row>
    <row r="154" spans="1:13" x14ac:dyDescent="0.25">
      <c r="B154" s="9">
        <v>152</v>
      </c>
      <c r="C154" s="39" t="s">
        <v>159</v>
      </c>
      <c r="D154" s="39" t="s">
        <v>87</v>
      </c>
      <c r="E154" s="41" t="s">
        <v>90</v>
      </c>
      <c r="F154" s="2">
        <v>80</v>
      </c>
      <c r="G154" s="19" t="s">
        <v>162</v>
      </c>
      <c r="H154" s="2">
        <v>250</v>
      </c>
      <c r="I154" s="2">
        <v>10</v>
      </c>
      <c r="J154" s="2">
        <v>1.6</v>
      </c>
      <c r="K154" s="20">
        <f>Лист2!$C$8-I154</f>
        <v>-10</v>
      </c>
      <c r="L154" s="20">
        <f>H154-Лист2!$C$9</f>
        <v>250</v>
      </c>
      <c r="M154" s="49" t="s">
        <v>192</v>
      </c>
    </row>
    <row r="155" spans="1:13" x14ac:dyDescent="0.25">
      <c r="B155" s="9">
        <v>153</v>
      </c>
      <c r="C155" s="39" t="s">
        <v>160</v>
      </c>
      <c r="D155" s="39" t="s">
        <v>87</v>
      </c>
      <c r="E155" s="41" t="s">
        <v>91</v>
      </c>
      <c r="F155" s="2">
        <v>100</v>
      </c>
      <c r="G155" s="19" t="s">
        <v>36</v>
      </c>
      <c r="H155" s="2">
        <v>400</v>
      </c>
      <c r="I155" s="2">
        <v>20</v>
      </c>
      <c r="J155" s="2">
        <v>1.6</v>
      </c>
      <c r="K155" s="20">
        <f>Лист2!$C$8-I155</f>
        <v>-20</v>
      </c>
      <c r="L155" s="20">
        <f>H155-Лист2!$C$9</f>
        <v>400</v>
      </c>
      <c r="M155" s="49" t="s">
        <v>192</v>
      </c>
    </row>
    <row r="156" spans="1:13" x14ac:dyDescent="0.25">
      <c r="B156" s="9">
        <v>154</v>
      </c>
      <c r="C156" s="39" t="s">
        <v>161</v>
      </c>
      <c r="D156" s="39" t="s">
        <v>87</v>
      </c>
      <c r="E156" s="41" t="s">
        <v>91</v>
      </c>
      <c r="F156" s="2">
        <v>100</v>
      </c>
      <c r="G156" s="19" t="s">
        <v>162</v>
      </c>
      <c r="H156" s="2">
        <v>400</v>
      </c>
      <c r="I156" s="2">
        <v>16</v>
      </c>
      <c r="J156" s="2">
        <v>1.6</v>
      </c>
      <c r="K156" s="20">
        <f>Лист2!$C$8-I156</f>
        <v>-16</v>
      </c>
      <c r="L156" s="20">
        <f>H156-Лист2!$C$9</f>
        <v>400</v>
      </c>
      <c r="M156" s="49" t="s">
        <v>192</v>
      </c>
    </row>
    <row r="157" spans="1:13" x14ac:dyDescent="0.25">
      <c r="B157" s="9">
        <v>155</v>
      </c>
      <c r="C157" s="39" t="s">
        <v>163</v>
      </c>
      <c r="D157" s="39" t="s">
        <v>87</v>
      </c>
      <c r="E157" s="41" t="s">
        <v>92</v>
      </c>
      <c r="F157" s="2">
        <v>100</v>
      </c>
      <c r="G157" s="19" t="s">
        <v>36</v>
      </c>
      <c r="H157" s="2">
        <v>650</v>
      </c>
      <c r="I157" s="2">
        <v>32.5</v>
      </c>
      <c r="J157" s="2">
        <v>1.6</v>
      </c>
      <c r="K157" s="20">
        <f>Лист2!$C$8-I157</f>
        <v>-32.5</v>
      </c>
      <c r="L157" s="20">
        <f>H157-Лист2!$C$9</f>
        <v>650</v>
      </c>
      <c r="M157" s="49" t="s">
        <v>192</v>
      </c>
    </row>
    <row r="158" spans="1:13" x14ac:dyDescent="0.25">
      <c r="B158" s="9">
        <v>156</v>
      </c>
      <c r="C158" s="39" t="s">
        <v>164</v>
      </c>
      <c r="D158" s="39" t="s">
        <v>87</v>
      </c>
      <c r="E158" s="41" t="s">
        <v>92</v>
      </c>
      <c r="F158" s="2">
        <v>100</v>
      </c>
      <c r="G158" s="19" t="s">
        <v>162</v>
      </c>
      <c r="H158" s="2">
        <v>650</v>
      </c>
      <c r="I158" s="2">
        <v>26</v>
      </c>
      <c r="J158" s="2">
        <v>1.6</v>
      </c>
      <c r="K158" s="20">
        <f>Лист2!$C$8-I158</f>
        <v>-26</v>
      </c>
      <c r="L158" s="20">
        <f>H158-Лист2!$C$9</f>
        <v>650</v>
      </c>
      <c r="M158" s="49" t="s">
        <v>192</v>
      </c>
    </row>
    <row r="159" spans="1:13" x14ac:dyDescent="0.25">
      <c r="B159" s="9">
        <v>157</v>
      </c>
      <c r="C159" s="39" t="s">
        <v>165</v>
      </c>
      <c r="D159" s="39" t="s">
        <v>87</v>
      </c>
      <c r="E159" s="41" t="s">
        <v>175</v>
      </c>
      <c r="F159" s="2">
        <v>150</v>
      </c>
      <c r="G159" s="19" t="s">
        <v>36</v>
      </c>
      <c r="H159" s="2">
        <v>800</v>
      </c>
      <c r="I159" s="2">
        <v>40</v>
      </c>
      <c r="J159" s="2">
        <v>1.6</v>
      </c>
      <c r="K159" s="20">
        <f>Лист2!$C$8-I159</f>
        <v>-40</v>
      </c>
      <c r="L159" s="20">
        <f>H159-Лист2!$C$9</f>
        <v>800</v>
      </c>
      <c r="M159" s="49" t="s">
        <v>192</v>
      </c>
    </row>
    <row r="160" spans="1:13" x14ac:dyDescent="0.25">
      <c r="B160" s="9">
        <v>158</v>
      </c>
      <c r="C160" s="39" t="s">
        <v>166</v>
      </c>
      <c r="D160" s="39" t="s">
        <v>87</v>
      </c>
      <c r="E160" s="41" t="s">
        <v>175</v>
      </c>
      <c r="F160" s="2">
        <v>150</v>
      </c>
      <c r="G160" s="19" t="s">
        <v>10</v>
      </c>
      <c r="H160" s="2">
        <v>800</v>
      </c>
      <c r="I160" s="2">
        <v>26.6</v>
      </c>
      <c r="J160" s="2">
        <v>1.6</v>
      </c>
      <c r="K160" s="20">
        <f>Лист2!$C$8-I160</f>
        <v>-26.6</v>
      </c>
      <c r="L160" s="20">
        <f>H160-Лист2!$C$9</f>
        <v>800</v>
      </c>
      <c r="M160" s="49" t="s">
        <v>192</v>
      </c>
    </row>
    <row r="161" spans="1:13" x14ac:dyDescent="0.25">
      <c r="B161" s="9">
        <v>159</v>
      </c>
      <c r="C161" s="39" t="s">
        <v>167</v>
      </c>
      <c r="D161" s="39" t="s">
        <v>87</v>
      </c>
      <c r="E161" s="41" t="s">
        <v>93</v>
      </c>
      <c r="F161" s="2">
        <v>150</v>
      </c>
      <c r="G161" s="19" t="s">
        <v>36</v>
      </c>
      <c r="H161" s="2">
        <v>1000</v>
      </c>
      <c r="I161" s="2">
        <v>50</v>
      </c>
      <c r="J161" s="2">
        <v>1.6</v>
      </c>
      <c r="K161" s="20">
        <f>Лист2!$C$8-I161</f>
        <v>-50</v>
      </c>
      <c r="L161" s="20">
        <f>H161-Лист2!$C$9</f>
        <v>1000</v>
      </c>
      <c r="M161" s="49" t="s">
        <v>192</v>
      </c>
    </row>
    <row r="162" spans="1:13" x14ac:dyDescent="0.25">
      <c r="B162" s="9">
        <v>160</v>
      </c>
      <c r="C162" s="39" t="s">
        <v>168</v>
      </c>
      <c r="D162" s="39" t="s">
        <v>87</v>
      </c>
      <c r="E162" s="41" t="s">
        <v>93</v>
      </c>
      <c r="F162" s="2">
        <v>150</v>
      </c>
      <c r="G162" s="19" t="s">
        <v>10</v>
      </c>
      <c r="H162" s="2">
        <v>1000</v>
      </c>
      <c r="I162" s="2">
        <v>32.5</v>
      </c>
      <c r="J162" s="2">
        <v>1.6</v>
      </c>
      <c r="K162" s="20">
        <f>Лист2!$C$8-I162</f>
        <v>-32.5</v>
      </c>
      <c r="L162" s="20">
        <f>H162-Лист2!$C$9</f>
        <v>1000</v>
      </c>
      <c r="M162" s="49" t="s">
        <v>192</v>
      </c>
    </row>
    <row r="163" spans="1:13" x14ac:dyDescent="0.25">
      <c r="B163" s="9">
        <v>161</v>
      </c>
      <c r="C163" s="39" t="s">
        <v>169</v>
      </c>
      <c r="D163" s="39" t="s">
        <v>87</v>
      </c>
      <c r="E163" s="41" t="s">
        <v>94</v>
      </c>
      <c r="F163" s="2">
        <v>200</v>
      </c>
      <c r="G163" s="19" t="s">
        <v>36</v>
      </c>
      <c r="H163" s="2">
        <v>1600</v>
      </c>
      <c r="I163" s="2">
        <v>80</v>
      </c>
      <c r="J163" s="2">
        <v>1.6</v>
      </c>
      <c r="K163" s="20">
        <f>Лист2!$C$8-I163</f>
        <v>-80</v>
      </c>
      <c r="L163" s="20">
        <f>H163-Лист2!$C$9</f>
        <v>1600</v>
      </c>
      <c r="M163" s="49" t="s">
        <v>192</v>
      </c>
    </row>
    <row r="164" spans="1:13" x14ac:dyDescent="0.25">
      <c r="B164" s="9">
        <v>162</v>
      </c>
      <c r="C164" s="39" t="s">
        <v>170</v>
      </c>
      <c r="D164" s="39" t="s">
        <v>87</v>
      </c>
      <c r="E164" s="41" t="s">
        <v>94</v>
      </c>
      <c r="F164" s="2">
        <v>200</v>
      </c>
      <c r="G164" s="19" t="s">
        <v>10</v>
      </c>
      <c r="H164" s="2">
        <v>1600</v>
      </c>
      <c r="I164" s="2">
        <v>53.3</v>
      </c>
      <c r="J164" s="2">
        <v>1.6</v>
      </c>
      <c r="K164" s="20">
        <f>Лист2!$C$8-I164</f>
        <v>-53.3</v>
      </c>
      <c r="L164" s="20">
        <f>H164-Лист2!$C$9</f>
        <v>1600</v>
      </c>
      <c r="M164" s="49" t="s">
        <v>192</v>
      </c>
    </row>
    <row r="165" spans="1:13" x14ac:dyDescent="0.25">
      <c r="B165" s="9">
        <v>163</v>
      </c>
      <c r="C165" s="39" t="s">
        <v>171</v>
      </c>
      <c r="D165" s="39" t="s">
        <v>87</v>
      </c>
      <c r="E165" s="41" t="s">
        <v>95</v>
      </c>
      <c r="F165" s="2">
        <v>200</v>
      </c>
      <c r="G165" s="19" t="s">
        <v>36</v>
      </c>
      <c r="H165" s="2">
        <v>2500</v>
      </c>
      <c r="I165" s="2">
        <v>125</v>
      </c>
      <c r="J165" s="2">
        <v>1.6</v>
      </c>
      <c r="K165" s="20">
        <f>Лист2!$C$8-I165</f>
        <v>-125</v>
      </c>
      <c r="L165" s="20">
        <f>H165-Лист2!$C$9</f>
        <v>2500</v>
      </c>
      <c r="M165" s="49" t="s">
        <v>192</v>
      </c>
    </row>
    <row r="166" spans="1:13" x14ac:dyDescent="0.25">
      <c r="B166" s="9">
        <v>164</v>
      </c>
      <c r="C166" s="39" t="s">
        <v>172</v>
      </c>
      <c r="D166" s="39" t="s">
        <v>87</v>
      </c>
      <c r="E166" s="41" t="s">
        <v>95</v>
      </c>
      <c r="F166" s="2">
        <v>200</v>
      </c>
      <c r="G166" s="19" t="s">
        <v>10</v>
      </c>
      <c r="H166" s="2">
        <v>2500</v>
      </c>
      <c r="I166" s="2">
        <v>80</v>
      </c>
      <c r="J166" s="2">
        <v>1.6</v>
      </c>
      <c r="K166" s="20">
        <f>Лист2!$C$8-I166</f>
        <v>-80</v>
      </c>
      <c r="L166" s="20">
        <f>H166-Лист2!$C$9</f>
        <v>2500</v>
      </c>
      <c r="M166" s="49" t="s">
        <v>192</v>
      </c>
    </row>
    <row r="167" spans="1:13" x14ac:dyDescent="0.25">
      <c r="B167" s="9">
        <v>165</v>
      </c>
      <c r="C167" s="39" t="s">
        <v>173</v>
      </c>
      <c r="D167" s="39" t="s">
        <v>87</v>
      </c>
      <c r="E167" s="41" t="s">
        <v>96</v>
      </c>
      <c r="F167" s="2">
        <v>200</v>
      </c>
      <c r="G167" s="19" t="s">
        <v>36</v>
      </c>
      <c r="H167" s="2">
        <v>4000</v>
      </c>
      <c r="I167" s="2">
        <v>200</v>
      </c>
      <c r="J167" s="2">
        <v>1.6</v>
      </c>
      <c r="K167" s="20">
        <f>Лист2!$C$8-I167</f>
        <v>-200</v>
      </c>
      <c r="L167" s="20">
        <f>H167-Лист2!$C$9</f>
        <v>4000</v>
      </c>
      <c r="M167" s="49" t="s">
        <v>192</v>
      </c>
    </row>
    <row r="168" spans="1:13" x14ac:dyDescent="0.25">
      <c r="B168" s="23">
        <v>166</v>
      </c>
      <c r="C168" s="38" t="s">
        <v>174</v>
      </c>
      <c r="D168" s="38" t="s">
        <v>87</v>
      </c>
      <c r="E168" s="42" t="s">
        <v>96</v>
      </c>
      <c r="F168" s="27">
        <v>200</v>
      </c>
      <c r="G168" s="25" t="s">
        <v>10</v>
      </c>
      <c r="H168" s="27">
        <v>4000</v>
      </c>
      <c r="I168" s="27">
        <v>130</v>
      </c>
      <c r="J168" s="27">
        <v>1.6</v>
      </c>
      <c r="K168" s="26">
        <f>Лист2!$C$8-I168</f>
        <v>-130</v>
      </c>
      <c r="L168" s="26">
        <f>H168-Лист2!$C$9</f>
        <v>4000</v>
      </c>
      <c r="M168" s="48" t="s">
        <v>192</v>
      </c>
    </row>
    <row r="169" spans="1:13" x14ac:dyDescent="0.25">
      <c r="A169" t="s">
        <v>187</v>
      </c>
      <c r="B169" s="9">
        <v>167</v>
      </c>
      <c r="C169" s="39" t="s">
        <v>179</v>
      </c>
      <c r="D169" s="39" t="s">
        <v>87</v>
      </c>
      <c r="E169" s="28" t="s">
        <v>105</v>
      </c>
      <c r="F169" s="2">
        <v>80</v>
      </c>
      <c r="G169" s="19" t="s">
        <v>48</v>
      </c>
      <c r="H169" s="2">
        <v>250</v>
      </c>
      <c r="I169" s="2">
        <v>12.5</v>
      </c>
      <c r="J169" s="2">
        <v>7.5</v>
      </c>
      <c r="K169" s="20">
        <f>Лист2!$C$8-I169</f>
        <v>-12.5</v>
      </c>
      <c r="L169" s="20">
        <f>H169-Лист2!$C$9</f>
        <v>250</v>
      </c>
      <c r="M169" s="49" t="s">
        <v>192</v>
      </c>
    </row>
    <row r="170" spans="1:13" x14ac:dyDescent="0.25">
      <c r="B170" s="9">
        <v>168</v>
      </c>
      <c r="C170" s="39" t="s">
        <v>180</v>
      </c>
      <c r="D170" s="39" t="s">
        <v>87</v>
      </c>
      <c r="E170" s="2" t="s">
        <v>106</v>
      </c>
      <c r="F170" s="2">
        <v>100</v>
      </c>
      <c r="G170" s="19" t="s">
        <v>36</v>
      </c>
      <c r="H170" s="2">
        <v>400</v>
      </c>
      <c r="I170" s="2">
        <v>20</v>
      </c>
      <c r="J170" s="2">
        <v>7.5</v>
      </c>
      <c r="K170" s="20">
        <f>Лист2!$C$8-I170</f>
        <v>-20</v>
      </c>
      <c r="L170" s="20">
        <f>H170-Лист2!$C$9</f>
        <v>400</v>
      </c>
      <c r="M170" s="49" t="s">
        <v>192</v>
      </c>
    </row>
    <row r="171" spans="1:13" x14ac:dyDescent="0.25">
      <c r="B171" s="9">
        <v>169</v>
      </c>
      <c r="C171" s="39" t="s">
        <v>181</v>
      </c>
      <c r="D171" s="39" t="s">
        <v>87</v>
      </c>
      <c r="E171" s="2" t="s">
        <v>107</v>
      </c>
      <c r="F171" s="2">
        <v>100</v>
      </c>
      <c r="G171" s="19" t="s">
        <v>36</v>
      </c>
      <c r="H171" s="2">
        <v>650</v>
      </c>
      <c r="I171" s="2">
        <v>32.5</v>
      </c>
      <c r="J171" s="2">
        <v>7.5</v>
      </c>
      <c r="K171" s="20">
        <f>Лист2!$C$8-I171</f>
        <v>-32.5</v>
      </c>
      <c r="L171" s="20">
        <f>H171-Лист2!$C$9</f>
        <v>650</v>
      </c>
      <c r="M171" s="49" t="s">
        <v>192</v>
      </c>
    </row>
    <row r="172" spans="1:13" x14ac:dyDescent="0.25">
      <c r="B172" s="9">
        <v>170</v>
      </c>
      <c r="C172" s="39" t="s">
        <v>182</v>
      </c>
      <c r="D172" s="39" t="s">
        <v>87</v>
      </c>
      <c r="E172" s="2" t="s">
        <v>108</v>
      </c>
      <c r="F172" s="2">
        <v>150</v>
      </c>
      <c r="G172" s="19" t="s">
        <v>36</v>
      </c>
      <c r="H172" s="2">
        <v>800</v>
      </c>
      <c r="I172" s="2">
        <v>40</v>
      </c>
      <c r="J172" s="2">
        <v>7.5</v>
      </c>
      <c r="K172" s="20">
        <f>Лист2!$C$8-I172</f>
        <v>-40</v>
      </c>
      <c r="L172" s="20">
        <f>H172-Лист2!$C$9</f>
        <v>800</v>
      </c>
      <c r="M172" s="49" t="s">
        <v>192</v>
      </c>
    </row>
    <row r="173" spans="1:13" x14ac:dyDescent="0.25">
      <c r="B173" s="9">
        <v>171</v>
      </c>
      <c r="C173" s="39" t="s">
        <v>183</v>
      </c>
      <c r="D173" s="39" t="s">
        <v>87</v>
      </c>
      <c r="E173" s="2" t="s">
        <v>109</v>
      </c>
      <c r="F173" s="2">
        <v>150</v>
      </c>
      <c r="G173" s="19" t="s">
        <v>36</v>
      </c>
      <c r="H173" s="2">
        <v>1000</v>
      </c>
      <c r="I173" s="2">
        <v>50</v>
      </c>
      <c r="J173" s="2">
        <v>7.5</v>
      </c>
      <c r="K173" s="20">
        <f>Лист2!$C$8-I173</f>
        <v>-50</v>
      </c>
      <c r="L173" s="20">
        <f>H173-Лист2!$C$9</f>
        <v>1000</v>
      </c>
      <c r="M173" s="49" t="s">
        <v>192</v>
      </c>
    </row>
    <row r="174" spans="1:13" x14ac:dyDescent="0.25">
      <c r="B174" s="9">
        <v>172</v>
      </c>
      <c r="C174" s="39" t="s">
        <v>184</v>
      </c>
      <c r="D174" s="39" t="s">
        <v>87</v>
      </c>
      <c r="E174" s="2" t="s">
        <v>110</v>
      </c>
      <c r="F174" s="2">
        <v>200</v>
      </c>
      <c r="G174" s="19" t="s">
        <v>36</v>
      </c>
      <c r="H174" s="2">
        <v>1600</v>
      </c>
      <c r="I174" s="2">
        <v>80</v>
      </c>
      <c r="J174" s="2">
        <v>7.5</v>
      </c>
      <c r="K174" s="20">
        <f>Лист2!$C$8-I174</f>
        <v>-80</v>
      </c>
      <c r="L174" s="20">
        <f>H174-Лист2!$C$9</f>
        <v>1600</v>
      </c>
      <c r="M174" s="49" t="s">
        <v>192</v>
      </c>
    </row>
    <row r="175" spans="1:13" x14ac:dyDescent="0.25">
      <c r="B175" s="9">
        <v>173</v>
      </c>
      <c r="C175" s="39" t="s">
        <v>185</v>
      </c>
      <c r="D175" s="39" t="s">
        <v>87</v>
      </c>
      <c r="E175" s="2" t="s">
        <v>111</v>
      </c>
      <c r="F175" s="2">
        <v>200</v>
      </c>
      <c r="G175" s="19" t="s">
        <v>36</v>
      </c>
      <c r="H175" s="2">
        <v>2500</v>
      </c>
      <c r="I175" s="2">
        <v>125</v>
      </c>
      <c r="J175" s="2">
        <v>7.5</v>
      </c>
      <c r="K175" s="20">
        <f>Лист2!$C$8-I175</f>
        <v>-125</v>
      </c>
      <c r="L175" s="20">
        <f>H175-Лист2!$C$9</f>
        <v>2500</v>
      </c>
      <c r="M175" s="49" t="s">
        <v>192</v>
      </c>
    </row>
    <row r="176" spans="1:13" x14ac:dyDescent="0.25">
      <c r="B176" s="9">
        <v>174</v>
      </c>
      <c r="C176" s="39" t="s">
        <v>186</v>
      </c>
      <c r="D176" s="39" t="s">
        <v>87</v>
      </c>
      <c r="E176" s="2" t="s">
        <v>112</v>
      </c>
      <c r="F176" s="2">
        <v>200</v>
      </c>
      <c r="G176" s="19" t="s">
        <v>36</v>
      </c>
      <c r="H176" s="2">
        <v>4000</v>
      </c>
      <c r="I176" s="2">
        <v>200</v>
      </c>
      <c r="J176" s="2">
        <v>7.5</v>
      </c>
      <c r="K176" s="20">
        <f>Лист2!$C$8-I176</f>
        <v>-200</v>
      </c>
      <c r="L176" s="20">
        <f>H176-Лист2!$C$9</f>
        <v>4000</v>
      </c>
      <c r="M176" s="49" t="s">
        <v>192</v>
      </c>
    </row>
    <row r="177" spans="2:15" x14ac:dyDescent="0.25">
      <c r="B177" s="18"/>
      <c r="C177" s="18"/>
      <c r="D177" s="18"/>
      <c r="E177" s="18"/>
      <c r="F177" s="18"/>
      <c r="G177" s="19"/>
      <c r="H177" s="18"/>
      <c r="I177" s="18"/>
      <c r="J177" s="18"/>
      <c r="K177" s="18"/>
      <c r="L177" s="18"/>
      <c r="M177" s="18"/>
    </row>
    <row r="179" spans="2:15" x14ac:dyDescent="0.25">
      <c r="B179" s="3" t="s">
        <v>24</v>
      </c>
      <c r="C179" s="3" t="s">
        <v>12</v>
      </c>
      <c r="D179" s="3" t="s">
        <v>13</v>
      </c>
      <c r="E179" s="4" t="s">
        <v>14</v>
      </c>
      <c r="F179" s="3" t="s">
        <v>15</v>
      </c>
      <c r="G179" s="3" t="s">
        <v>16</v>
      </c>
      <c r="H179" s="3" t="s">
        <v>17</v>
      </c>
      <c r="I179" s="3" t="s">
        <v>18</v>
      </c>
      <c r="J179" s="3" t="s">
        <v>49</v>
      </c>
      <c r="K179" s="3" t="s">
        <v>83</v>
      </c>
      <c r="L179" s="3" t="s">
        <v>85</v>
      </c>
      <c r="M179" s="3" t="s">
        <v>86</v>
      </c>
      <c r="N179" s="3">
        <f>DMIN($B$2:$M$176,1,B179:M180)</f>
        <v>0</v>
      </c>
      <c r="O179" s="8" t="s">
        <v>23</v>
      </c>
    </row>
    <row r="180" spans="2:15" x14ac:dyDescent="0.25">
      <c r="C180" t="str">
        <f>IF(Лист2!I14=0,"*",CONCATENATE(Лист2!I14,"*"))</f>
        <v>*</v>
      </c>
      <c r="F180" s="43" t="str">
        <f>IF(Лист2!C6&gt;0,Лист2!C6,"&gt;0")</f>
        <v>&gt;0</v>
      </c>
      <c r="J180" s="6" t="str">
        <f>CONCATENATE("&gt;",Лист2!C5)</f>
        <v>&gt;0</v>
      </c>
      <c r="K180" s="5" t="s">
        <v>21</v>
      </c>
      <c r="L180" s="5" t="s">
        <v>21</v>
      </c>
      <c r="M180" s="6" t="str">
        <f>IF('СГ-ЭК'!B23&lt;&gt;"2У","*","+")</f>
        <v>*</v>
      </c>
    </row>
    <row r="182" spans="2:15" x14ac:dyDescent="0.25">
      <c r="B182" s="3" t="s">
        <v>24</v>
      </c>
      <c r="C182" s="3" t="s">
        <v>12</v>
      </c>
      <c r="D182" s="3" t="s">
        <v>13</v>
      </c>
      <c r="E182" s="4" t="s">
        <v>14</v>
      </c>
      <c r="F182" s="3" t="s">
        <v>15</v>
      </c>
      <c r="G182" s="3" t="s">
        <v>16</v>
      </c>
      <c r="H182" s="3" t="s">
        <v>17</v>
      </c>
      <c r="I182" s="3" t="s">
        <v>18</v>
      </c>
      <c r="J182" s="3" t="s">
        <v>49</v>
      </c>
      <c r="K182" s="3" t="s">
        <v>83</v>
      </c>
      <c r="L182" s="3" t="s">
        <v>85</v>
      </c>
      <c r="M182" s="3" t="s">
        <v>86</v>
      </c>
      <c r="N182" s="3"/>
      <c r="O182" s="8" t="s">
        <v>25</v>
      </c>
    </row>
    <row r="183" spans="2:15" x14ac:dyDescent="0.25">
      <c r="B183" s="6">
        <f>N179</f>
        <v>0</v>
      </c>
      <c r="C183" s="6"/>
      <c r="D183" s="6"/>
      <c r="F183" s="6"/>
      <c r="K183" s="5"/>
      <c r="L183" s="5"/>
    </row>
    <row r="184" spans="2:15" x14ac:dyDescent="0.25">
      <c r="C184" s="44" t="e">
        <f>DGET($B$2:$M$176,2,B182:M183)</f>
        <v>#VALUE!</v>
      </c>
      <c r="D184" s="10" t="e">
        <f>DGET($B$2:$M$176,3,B182:M183)</f>
        <v>#VALUE!</v>
      </c>
      <c r="E184" s="10" t="e">
        <f>DGET($B$2:$M$176,4,B182:M183)</f>
        <v>#VALUE!</v>
      </c>
      <c r="G184" s="10" t="e">
        <f>DGET($B$2:$M$176,6,B182:M183)</f>
        <v>#VALUE!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СГ-ЭК</vt:lpstr>
      <vt:lpstr>Опросный лист</vt:lpstr>
      <vt:lpstr>Лист2</vt:lpstr>
      <vt:lpstr>Лист3</vt:lpstr>
      <vt:lpstr>'Опросный лист'!Область_печати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2023-08-28T12:00:14Z</dcterms:modified>
  <cp:contentStatus/>
</cp:coreProperties>
</file>